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000" activeTab="1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  <sheet name="расчет обоснований" sheetId="12" r:id="rId12"/>
    <sheet name="Лист согласований" sheetId="13" r:id="rId13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4">'код субсидии'!$B:$C</definedName>
    <definedName name="_xlnm.Print_Area" localSheetId="3">'Отраслевой код'!$B:$E</definedName>
    <definedName name="_xlnm.Print_Area" localSheetId="1">'раздел 2  на 01.01.19 '!$A$1:$C$158</definedName>
    <definedName name="_xlnm.Print_Area" localSheetId="2">'раздел 3 (табл.2,3,4)'!$A$1:$N$709</definedName>
    <definedName name="_xlnm.Print_Area" localSheetId="6">'раздел 4 (табл.6)'!$A:$D</definedName>
    <definedName name="_xlnm.Print_Area" localSheetId="7">'раздел 5(табл.7)'!$A:$E</definedName>
    <definedName name="_xlnm.Print_Area" localSheetId="11">'расчет обоснований'!$A$1:$F$141</definedName>
    <definedName name="_xlnm.Print_Area" localSheetId="5">'табл.5'!$A$1:$L$34</definedName>
    <definedName name="_xlnm.Print_Area" localSheetId="0">'титульный лист + раздел 1'!$A$1:$H$54</definedName>
    <definedName name="_xlnm.Print_Area" localSheetId="9">'ФЭО ИЦ'!$A$1:$K$369</definedName>
    <definedName name="_xlnm.Print_Area" localSheetId="8">'ФЭО МЗ'!$A$1:$K$485</definedName>
    <definedName name="_xlnm.Print_Area" localSheetId="10">'ФЭО СС'!$A$1:$K$417</definedName>
  </definedNames>
  <calcPr fullCalcOnLoad="1"/>
</workbook>
</file>

<file path=xl/sharedStrings.xml><?xml version="1.0" encoding="utf-8"?>
<sst xmlns="http://schemas.openxmlformats.org/spreadsheetml/2006/main" count="4021" uniqueCount="960">
  <si>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</si>
  <si>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</si>
  <si>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</si>
  <si>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</si>
  <si>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</si>
  <si>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</si>
  <si>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</si>
  <si>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</si>
  <si>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</si>
  <si>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</si>
  <si>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</si>
  <si>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</si>
  <si>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</si>
  <si>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</si>
  <si>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</si>
  <si>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</si>
  <si>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</si>
  <si>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</si>
  <si>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</si>
  <si>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</si>
  <si>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</si>
  <si>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</si>
  <si>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</si>
  <si>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</si>
  <si>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</si>
  <si>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</si>
  <si>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</si>
  <si>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</si>
  <si>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</si>
  <si>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</si>
  <si>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</si>
  <si>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</si>
  <si>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</si>
  <si>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</si>
  <si>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</si>
  <si>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</si>
  <si>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</si>
  <si>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</si>
  <si>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</si>
  <si>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</si>
  <si>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</si>
  <si>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</si>
  <si>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</si>
  <si>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</si>
  <si>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</si>
  <si>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</si>
  <si>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</si>
  <si>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</si>
  <si>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</si>
  <si>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</si>
  <si>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</si>
  <si>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</si>
  <si>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</si>
  <si>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</si>
  <si>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</si>
  <si>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</si>
  <si>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</si>
  <si>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</si>
  <si>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</si>
  <si>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</si>
  <si>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</si>
  <si>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</si>
  <si>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</si>
  <si>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</si>
  <si>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</si>
  <si>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</si>
  <si>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</si>
  <si>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</si>
  <si>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</si>
  <si>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</si>
  <si>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</si>
  <si>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</si>
  <si>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</si>
  <si>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</si>
  <si>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</si>
  <si>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</si>
  <si>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</si>
  <si>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</si>
  <si>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</si>
  <si>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</si>
  <si>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</si>
  <si>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</si>
  <si>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</si>
  <si>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</si>
  <si>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</si>
  <si>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</si>
  <si>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</si>
  <si>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</si>
  <si>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</si>
  <si>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</si>
  <si>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</si>
  <si>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</si>
  <si>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</si>
  <si>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</si>
  <si>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</si>
  <si>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</si>
  <si>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</si>
  <si>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</si>
  <si>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</si>
  <si>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</si>
  <si>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</si>
  <si>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</si>
  <si>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</si>
  <si>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</si>
  <si>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</si>
  <si>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</si>
  <si>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</si>
  <si>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</si>
  <si>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</si>
  <si>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</si>
  <si>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</si>
  <si>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</si>
  <si>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</si>
  <si>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</si>
  <si>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</si>
  <si>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</si>
  <si>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</si>
  <si>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</si>
  <si>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</si>
  <si>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</si>
  <si>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</si>
  <si>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</si>
  <si>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</si>
  <si>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</si>
  <si>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</si>
  <si>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</si>
  <si>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</si>
  <si>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</si>
  <si>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</si>
  <si>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</si>
  <si>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</si>
  <si>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</si>
  <si>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</si>
  <si>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</si>
  <si>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</si>
  <si>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</si>
  <si>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</si>
  <si>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</si>
  <si>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</si>
  <si>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</si>
  <si>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</si>
  <si>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</si>
  <si>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</si>
  <si>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</si>
  <si>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</si>
  <si>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</si>
  <si>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</si>
  <si>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</si>
  <si>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</si>
  <si>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</si>
  <si>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</si>
  <si>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</si>
  <si>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</si>
  <si>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</si>
  <si>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</si>
  <si>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</si>
  <si>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</si>
  <si>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</si>
  <si>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</si>
  <si>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</si>
  <si>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</si>
  <si>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</si>
  <si>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</si>
  <si>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</si>
  <si>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</si>
  <si>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</si>
  <si>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</si>
  <si>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</si>
  <si>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</si>
  <si>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</si>
  <si>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</si>
  <si>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</si>
  <si>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</si>
  <si>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</si>
  <si>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</si>
  <si>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</si>
  <si>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</si>
  <si>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</si>
  <si>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</si>
  <si>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</si>
  <si>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</si>
  <si>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</si>
  <si>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</si>
  <si>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</si>
  <si>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</si>
  <si>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</si>
  <si>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</si>
  <si>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</si>
  <si>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</si>
  <si>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</si>
  <si>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</si>
  <si>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</si>
  <si>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</si>
  <si>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</si>
  <si>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</si>
  <si>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</si>
  <si>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</si>
  <si>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</si>
  <si>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</si>
  <si>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</si>
  <si>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</si>
  <si>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</si>
  <si>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</si>
  <si>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</si>
  <si>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</si>
  <si>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</si>
  <si>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</si>
  <si>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</si>
  <si>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</si>
  <si>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</si>
  <si>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</si>
  <si>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</si>
  <si>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</si>
  <si>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</si>
  <si>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</si>
  <si>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</si>
  <si>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</si>
  <si>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</si>
  <si>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</si>
  <si>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</si>
  <si>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</si>
  <si>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</si>
  <si>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</si>
  <si>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</si>
  <si>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</si>
  <si>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</si>
  <si>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</si>
  <si>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</si>
  <si>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</si>
  <si>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</si>
  <si>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</si>
  <si>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</si>
  <si>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</si>
  <si>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</si>
  <si>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</si>
  <si>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</si>
  <si>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</si>
  <si>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</si>
  <si>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</si>
  <si>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</si>
  <si>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</si>
  <si>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</si>
  <si>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</si>
  <si>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</si>
  <si>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</si>
  <si>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</si>
  <si>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</si>
  <si>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</si>
  <si>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</si>
  <si>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</si>
  <si>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</si>
  <si>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</si>
  <si>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</si>
  <si>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</si>
  <si>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</si>
  <si>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</si>
  <si>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</si>
  <si>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</si>
  <si>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</si>
  <si>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</si>
  <si>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</si>
  <si>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</si>
  <si>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</si>
  <si>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</si>
  <si>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</si>
  <si>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</si>
  <si>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</si>
  <si>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</si>
  <si>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</si>
  <si>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</si>
  <si>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</si>
  <si>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</si>
  <si>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</si>
  <si>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</si>
  <si>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</si>
  <si>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</si>
  <si>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</si>
  <si>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</si>
  <si>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</si>
  <si>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</si>
  <si>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</si>
  <si>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</si>
  <si>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</si>
  <si>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</si>
  <si>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</si>
  <si>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</si>
  <si>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</si>
  <si>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</si>
  <si>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</si>
  <si>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</si>
  <si>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</si>
  <si>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</si>
  <si>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</si>
  <si>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</si>
  <si>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</si>
  <si>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</si>
  <si>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</si>
  <si>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</si>
  <si>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</si>
  <si>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</si>
  <si>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</si>
  <si>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</si>
  <si>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</si>
  <si>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</si>
  <si>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</si>
  <si>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</si>
  <si>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</si>
  <si>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</si>
  <si>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</si>
  <si>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</si>
  <si>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</si>
  <si>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</si>
  <si>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</si>
  <si>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</si>
  <si>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</si>
  <si>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</si>
  <si>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</si>
  <si>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</si>
  <si>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</si>
  <si>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</si>
  <si>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</si>
  <si>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</si>
  <si>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</si>
  <si>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</si>
  <si>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</si>
  <si>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</si>
  <si>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</si>
  <si>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</si>
  <si>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</si>
  <si>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</si>
  <si>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</si>
  <si>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</si>
  <si>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</si>
  <si>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</si>
  <si>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</si>
  <si>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</si>
  <si>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</si>
  <si>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</si>
  <si>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</si>
  <si>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</si>
  <si>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</si>
  <si>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</si>
  <si>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</si>
  <si>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</si>
  <si>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</si>
  <si>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</si>
  <si>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</si>
  <si>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</si>
  <si>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</si>
  <si>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</si>
  <si>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</si>
  <si>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</si>
  <si>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</si>
  <si>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</si>
  <si>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</si>
  <si>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</si>
  <si>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</si>
  <si>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</si>
  <si>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</si>
  <si>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</si>
  <si>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</si>
  <si>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</si>
  <si>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</si>
  <si>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</si>
  <si>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</si>
  <si>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</si>
  <si>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</si>
  <si>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</si>
  <si>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</si>
  <si>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</si>
  <si>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</si>
  <si>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</si>
  <si>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</si>
  <si>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</si>
  <si>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</si>
  <si>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</si>
  <si>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</si>
  <si>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</si>
  <si>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</si>
  <si>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</si>
  <si>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</si>
  <si>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</si>
  <si>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</si>
  <si>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</si>
  <si>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</si>
  <si>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</si>
  <si>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</si>
  <si>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</si>
  <si>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</si>
  <si>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</si>
  <si>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</si>
  <si>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</si>
  <si>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</si>
  <si>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</si>
  <si>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</si>
  <si>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</si>
  <si>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</si>
  <si>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</si>
  <si>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</si>
  <si>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</si>
  <si>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</si>
  <si>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</si>
  <si>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</si>
  <si>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</si>
  <si>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</si>
  <si>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</si>
  <si>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</si>
  <si>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</si>
  <si>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</si>
  <si>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</si>
  <si>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</si>
  <si>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</si>
  <si>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</si>
  <si>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</si>
  <si>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</si>
  <si>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</si>
  <si>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</si>
  <si>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</si>
  <si>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</si>
  <si>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</si>
  <si>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</si>
  <si>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</si>
  <si>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</si>
  <si>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</si>
  <si>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</si>
  <si>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</si>
  <si>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</si>
  <si>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</si>
  <si>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</si>
  <si>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</si>
  <si>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</si>
  <si>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</si>
  <si>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</si>
  <si>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</si>
  <si>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</si>
  <si>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</si>
  <si>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</si>
  <si>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</si>
  <si>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</si>
  <si>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</si>
  <si>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</si>
  <si>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</si>
  <si>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</si>
  <si>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</si>
  <si>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</si>
  <si>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</si>
  <si>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</si>
  <si>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</si>
  <si>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</si>
  <si>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</si>
  <si>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</si>
  <si>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</si>
  <si>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</si>
  <si>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</si>
  <si>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</si>
  <si>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</si>
  <si>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</si>
  <si>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</si>
  <si>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</si>
  <si>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</si>
  <si>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</si>
  <si>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</si>
  <si>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</si>
  <si>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</si>
  <si>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</si>
  <si>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</si>
  <si>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</si>
  <si>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</si>
  <si>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</si>
  <si>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</si>
  <si>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</si>
  <si>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</si>
  <si>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</si>
  <si>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</si>
  <si>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</si>
  <si>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</si>
  <si>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</si>
  <si>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</si>
  <si>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</si>
  <si>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</si>
  <si>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</si>
  <si>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</si>
  <si>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</si>
  <si>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</si>
  <si>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</si>
  <si>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</si>
  <si>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</si>
  <si>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</si>
  <si>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</si>
  <si>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</si>
  <si>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</si>
  <si>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</si>
  <si>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</si>
  <si>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</si>
  <si>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</si>
  <si>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</si>
  <si>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</si>
  <si>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</si>
  <si>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</si>
  <si>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</si>
  <si>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</si>
  <si>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</si>
  <si>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</si>
  <si>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</si>
  <si>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</si>
  <si>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</si>
  <si>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</si>
  <si>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</si>
  <si>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</si>
  <si>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</si>
  <si>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</si>
  <si>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</si>
  <si>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</si>
  <si>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</si>
  <si>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</si>
  <si>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</si>
  <si>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</si>
  <si>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</si>
  <si>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</si>
  <si>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</si>
  <si>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</si>
  <si>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</si>
  <si>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</si>
  <si>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</si>
  <si>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</si>
  <si>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</si>
  <si>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</si>
  <si>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</si>
  <si>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</si>
  <si>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</si>
  <si>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</si>
  <si>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</si>
  <si>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</si>
  <si>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</si>
  <si>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</si>
  <si>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</si>
  <si>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</si>
  <si>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</si>
  <si>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</si>
  <si>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</si>
  <si>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</si>
  <si>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</si>
  <si>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</si>
  <si>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</si>
  <si>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</si>
  <si>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</si>
  <si>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</si>
  <si>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</si>
  <si>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</si>
  <si>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</si>
  <si>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</si>
  <si>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</si>
  <si>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</si>
  <si>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</si>
  <si>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</si>
  <si>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</si>
  <si>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</si>
  <si>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</si>
  <si>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</si>
  <si>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</si>
  <si>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</si>
  <si>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</si>
  <si>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</si>
  <si>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</si>
  <si>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</si>
  <si>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</si>
  <si>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</si>
  <si>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</si>
  <si>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</si>
  <si>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</si>
  <si>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</si>
  <si>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</si>
  <si>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</si>
  <si>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</si>
  <si>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</si>
  <si>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</si>
  <si>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</si>
  <si>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</si>
  <si>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</si>
  <si>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</si>
  <si>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</si>
  <si>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</si>
  <si>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</si>
  <si>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</si>
  <si>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</si>
  <si>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</si>
  <si>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</si>
  <si>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</si>
  <si>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</si>
  <si>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</si>
  <si>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</si>
  <si>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</si>
  <si>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</si>
  <si>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</si>
  <si>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</si>
  <si>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</si>
  <si>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</si>
  <si>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</si>
  <si>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</si>
  <si>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</si>
  <si>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</si>
  <si>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</si>
  <si>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</si>
  <si>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</si>
  <si>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</si>
  <si>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</si>
  <si>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</si>
  <si>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</si>
  <si>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</si>
  <si>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</si>
  <si>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</si>
  <si>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</si>
  <si>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</si>
  <si>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</si>
  <si>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</si>
  <si>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</si>
  <si>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</si>
  <si>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</si>
  <si>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</si>
  <si>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</si>
  <si>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</si>
  <si>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</si>
  <si>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</si>
  <si>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</si>
  <si>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</si>
  <si>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</si>
  <si>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</si>
  <si>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</si>
  <si>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</si>
  <si>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</si>
  <si>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</si>
  <si>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</si>
  <si>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</si>
  <si>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</si>
  <si>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</si>
  <si>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</si>
  <si>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</si>
  <si>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</si>
  <si>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</si>
  <si>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</si>
  <si>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</si>
  <si>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</si>
  <si>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</si>
  <si>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</si>
  <si>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</si>
  <si>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</si>
  <si>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</si>
  <si>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</si>
  <si>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</si>
  <si>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</si>
  <si>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</si>
  <si>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</si>
  <si>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</si>
  <si>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</si>
  <si>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</si>
  <si>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</si>
  <si>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</si>
  <si>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</si>
  <si>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</si>
  <si>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</si>
  <si>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</si>
  <si>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</si>
  <si>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</si>
  <si>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</si>
  <si>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</si>
  <si>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</si>
  <si>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</si>
  <si>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</si>
  <si>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</si>
  <si>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</si>
  <si>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</si>
  <si>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</si>
  <si>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</si>
  <si>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</si>
  <si>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</si>
  <si>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</si>
  <si>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</si>
  <si>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</si>
  <si>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</si>
  <si>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</si>
  <si>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</si>
  <si>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</si>
  <si>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</si>
  <si>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</si>
  <si>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</si>
  <si>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</si>
  <si>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</si>
  <si>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</si>
  <si>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</si>
  <si>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</si>
  <si>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</si>
  <si>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</si>
  <si>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</si>
  <si>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</si>
  <si>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</si>
  <si>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</si>
  <si>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</si>
  <si>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</si>
  <si>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</si>
  <si>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</si>
  <si>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</si>
  <si>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</si>
  <si>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</si>
  <si>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</si>
  <si>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</si>
  <si>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</si>
  <si>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</si>
  <si>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</si>
  <si>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</si>
  <si>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</si>
  <si>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</si>
  <si>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</si>
  <si>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</si>
  <si>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</si>
  <si>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</si>
  <si>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</si>
  <si>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</si>
  <si>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</si>
  <si>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</si>
  <si>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</si>
  <si>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</si>
  <si>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</si>
  <si>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</si>
  <si>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</si>
  <si>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</si>
  <si>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</si>
  <si>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</si>
  <si>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</si>
  <si>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</si>
  <si>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</si>
  <si>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</si>
  <si>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</si>
  <si>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</si>
  <si>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</si>
  <si>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</si>
  <si>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</si>
  <si>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</si>
  <si>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</si>
  <si>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</si>
  <si>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</si>
  <si>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</si>
  <si>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</si>
  <si>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</si>
  <si>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</si>
  <si>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</si>
  <si>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</si>
  <si>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</si>
  <si>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3-дня больничных</t>
  </si>
  <si>
    <t>3- дня больничных</t>
  </si>
  <si>
    <t>Монтаж и наладка</t>
  </si>
  <si>
    <t>монтаж и наладка</t>
  </si>
  <si>
    <t>работы, услуги  для целей кап.вложений</t>
  </si>
  <si>
    <t>Строй материалы</t>
  </si>
  <si>
    <t>Зап,части</t>
  </si>
  <si>
    <t>-</t>
  </si>
  <si>
    <t>901480000</t>
  </si>
  <si>
    <t>901160000</t>
  </si>
  <si>
    <t>901830000</t>
  </si>
  <si>
    <t>901150000</t>
  </si>
  <si>
    <t>Выходное пособие</t>
  </si>
  <si>
    <t>Пенсии, пособия, выплачиваемые работодателями, нанимателями бывшим работникам в денежной форме</t>
  </si>
  <si>
    <t>Пособие на период трудоустройства</t>
  </si>
  <si>
    <t>Призы, подарки</t>
  </si>
  <si>
    <t xml:space="preserve">телефон </t>
  </si>
  <si>
    <t>«   »                      2019 г.</t>
  </si>
  <si>
    <t xml:space="preserve">  .   .2019</t>
  </si>
  <si>
    <t xml:space="preserve">   "    "                              2019</t>
  </si>
  <si>
    <t>на "    "                   2019  г.</t>
  </si>
  <si>
    <t>на "    "                           2019  г.</t>
  </si>
  <si>
    <t>Расчет обоснования изменений</t>
  </si>
  <si>
    <t>В части приносящей доход деятельности</t>
  </si>
  <si>
    <t>Отклонение (руб)</t>
  </si>
  <si>
    <t xml:space="preserve">Примечание </t>
  </si>
  <si>
    <t>Итого поступления</t>
  </si>
  <si>
    <t>851/290</t>
  </si>
  <si>
    <t>851/291</t>
  </si>
  <si>
    <t>852/291</t>
  </si>
  <si>
    <t>853/297</t>
  </si>
  <si>
    <t>Итого выплаты</t>
  </si>
  <si>
    <t>В части субсидий на муниципальное задание</t>
  </si>
  <si>
    <t>112/266</t>
  </si>
  <si>
    <t>853/290</t>
  </si>
  <si>
    <t>853/291</t>
  </si>
  <si>
    <t>В части субсидий на иные цели</t>
  </si>
  <si>
    <t>Главный бухгалтер ОУ:</t>
  </si>
  <si>
    <t>в штате отсутствует</t>
  </si>
  <si>
    <r>
      <t xml:space="preserve">Учреждение:    </t>
    </r>
    <r>
      <rPr>
        <b/>
        <i/>
        <sz val="16"/>
        <color indexed="8"/>
        <rFont val="Times New Roman"/>
        <family val="1"/>
      </rPr>
      <t>МАОУ "Гимназия №1" г. Перми</t>
    </r>
  </si>
  <si>
    <t>Исполнитель специалист</t>
  </si>
  <si>
    <t xml:space="preserve">Тел.: </t>
  </si>
  <si>
    <t>111/211</t>
  </si>
  <si>
    <t>111/266</t>
  </si>
  <si>
    <t>850/290</t>
  </si>
  <si>
    <t>853/292</t>
  </si>
  <si>
    <t>112/267</t>
  </si>
  <si>
    <t>06 4 02 005903</t>
  </si>
  <si>
    <t>Лагерь</t>
  </si>
  <si>
    <t>901270000</t>
  </si>
  <si>
    <t>901890000</t>
  </si>
  <si>
    <t>901870000</t>
  </si>
  <si>
    <t>07 2 02 2Н0203</t>
  </si>
  <si>
    <t>Организация оздоровления и отдыха детей</t>
  </si>
  <si>
    <t>07 4 02 008203</t>
  </si>
  <si>
    <t>ЛИСТ СОГЛАСОВАНИЙ</t>
  </si>
  <si>
    <r>
      <t>Название проекта:</t>
    </r>
    <r>
      <rPr>
        <sz val="12"/>
        <color indexed="8"/>
        <rFont val="Times New Roman"/>
        <family val="1"/>
      </rPr>
      <t xml:space="preserve"> план финансово-хозяйственной деятельности на 2019-2021 гг.  образовательного учреждения</t>
    </r>
  </si>
  <si>
    <t xml:space="preserve">  </t>
  </si>
  <si>
    <t>Должность и наименование структурного подразделения администрации города</t>
  </si>
  <si>
    <t>Фамилия, инициалы</t>
  </si>
  <si>
    <t>Дата поступления</t>
  </si>
  <si>
    <t>Замечания,предложения</t>
  </si>
  <si>
    <t>Подпись</t>
  </si>
  <si>
    <t>Желтова О.Ю.</t>
  </si>
  <si>
    <t>Изменений нет</t>
  </si>
  <si>
    <t>МАОУ "Гимназия №1" г.Перми</t>
  </si>
  <si>
    <t xml:space="preserve">тел. </t>
  </si>
  <si>
    <t xml:space="preserve">Исполнитель специалист </t>
  </si>
  <si>
    <t>Директор МКУ «ЦБУиО»</t>
  </si>
  <si>
    <t>Отдел планирования и исполнения бюджета МКУ «ЦБУиО»</t>
  </si>
  <si>
    <t xml:space="preserve">Отдел формирования и контроля исполнения муниципального задания МКУ «ЦБУиО» </t>
  </si>
  <si>
    <t>Отдел консолидированной отчетности МКУ «ЦБУиО»</t>
  </si>
  <si>
    <t>УоБ</t>
  </si>
  <si>
    <t>Медали</t>
  </si>
  <si>
    <t>Аттестаты</t>
  </si>
  <si>
    <t>УМК для УоБ</t>
  </si>
  <si>
    <t>Санкур</t>
  </si>
  <si>
    <t>1.1. 1 Расчеты (обоснования) выплат персоналу по социальным пособиям и компенсациям</t>
  </si>
  <si>
    <t>071022Н0201</t>
  </si>
  <si>
    <t>услуги связзи</t>
  </si>
  <si>
    <t>07101005903</t>
  </si>
  <si>
    <t>страховка</t>
  </si>
  <si>
    <t>901140000</t>
  </si>
  <si>
    <t>Меры социальной поддержки педагогических работников - средства Пермского края</t>
  </si>
  <si>
    <t>Расходы на ведение лектронных дневников и журналов</t>
  </si>
  <si>
    <t>Компенсация части родительской платы</t>
  </si>
  <si>
    <t>Меры социальной поддержки учащимся из многодетных малоимущих семей (питание)</t>
  </si>
  <si>
    <t>Меры социальной поддержки учащимся из многодетных малоимущих семей (одежда)</t>
  </si>
  <si>
    <t xml:space="preserve">Меры социальной поддержки учащимся из малоимущих семей </t>
  </si>
  <si>
    <t>Меры социальной поддержки педагогических работников - средства Пермского края (единовременные выплаты)</t>
  </si>
  <si>
    <t>Конвертация данных для централизации учета</t>
  </si>
  <si>
    <t>Обеспечение работников путевками на санаторно-курортное лечение и оздоровление - средства г.Перми</t>
  </si>
  <si>
    <t>06101SC2401</t>
  </si>
  <si>
    <t>Обеспечение работников путевками на санаторно-курортное лечение и оздоровление - средства Пермского края</t>
  </si>
  <si>
    <t>06101SC2402</t>
  </si>
  <si>
    <t>Меры социальной поддержки педагогических работников (единовременные выплаты)</t>
  </si>
  <si>
    <t>901060000</t>
  </si>
  <si>
    <t>просие работы, услуги</t>
  </si>
  <si>
    <t>901370000</t>
  </si>
  <si>
    <t>91100221503</t>
  </si>
  <si>
    <t>стройматериалы</t>
  </si>
  <si>
    <t>мягкий инвентарь</t>
  </si>
  <si>
    <t>074032Н0201</t>
  </si>
  <si>
    <t>853/295</t>
  </si>
  <si>
    <t>321/264</t>
  </si>
  <si>
    <t>МАОУ "Гимназия №1"</t>
  </si>
  <si>
    <t>1.1.1 Расчеты (обоснования) расходов на оплату труда</t>
  </si>
  <si>
    <t>выплаты по уходу за ребенком до 3-х лет</t>
  </si>
  <si>
    <t>1.4.1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</si>
  <si>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3.1 Расчет (обоснование) расходов на уплату налогов, сборов и иных платежей (строка 230) &lt;6&gt;</t>
  </si>
  <si>
    <t>6.1.1 Расчет (обоснование) расходов на оплату услуг связи</t>
  </si>
  <si>
    <t>услуги интернет</t>
  </si>
  <si>
    <t>6.3.1 Расчет (обоснование) расходов на оплату коммунальных услуг &lt;11&gt;</t>
  </si>
  <si>
    <t>тепловая энергия</t>
  </si>
  <si>
    <t>электрическая энергия</t>
  </si>
  <si>
    <t>водоснабжение, водоотведение</t>
  </si>
  <si>
    <t>6.5.1 Расчет (обоснование) расходов на оплату работ, услуг по содержанию имущества &lt;13&gt;</t>
  </si>
  <si>
    <t>дератизация, дезинсекция</t>
  </si>
  <si>
    <t>ООО "Дезцентр-Пермь"</t>
  </si>
  <si>
    <t>техническое обслуживание оборудования системы ОПС</t>
  </si>
  <si>
    <t>ООО "ЧОА "Аргентум-Секьюрити"</t>
  </si>
  <si>
    <t>обслуживание оборудования</t>
  </si>
  <si>
    <t>ИП Иванов Сергей Юрьевич</t>
  </si>
  <si>
    <t>техническое обслуживания домофонной системы, видеонаблюдения и автоматических ворот</t>
  </si>
  <si>
    <t>ИП Губанов Михаил Александрович</t>
  </si>
  <si>
    <t>техническое обслуживание противопожарных дверей</t>
  </si>
  <si>
    <t>ООО "АВД"</t>
  </si>
  <si>
    <t>вывоз ТБО, КГО</t>
  </si>
  <si>
    <t>ООО "Рециклинг"</t>
  </si>
  <si>
    <t>техническое обслуживание объектовой станции ПАК "Стрелец-Мониторинг"</t>
  </si>
  <si>
    <t>ООО "Служба-Мониторинг"</t>
  </si>
  <si>
    <t>заправка картриджей</t>
  </si>
  <si>
    <t>ИП Ташкинов Иван Алексеевич</t>
  </si>
  <si>
    <t>техническое обслуживание системы отопления, водоснабжения, канализации</t>
  </si>
  <si>
    <t>Мотырев Михаил Николаевич</t>
  </si>
  <si>
    <t>техническое обслуживание комплекса технических средств</t>
  </si>
  <si>
    <t>ФГУП "Охрана "Федеральной службы войск национальной гвардии РФ"</t>
  </si>
  <si>
    <t>стирка, глажка белья</t>
  </si>
  <si>
    <t>ООО "Формула чистоты"</t>
  </si>
  <si>
    <t>проверка вентиляции</t>
  </si>
  <si>
    <t>ООО "Экострой"</t>
  </si>
  <si>
    <t>опрессовка теплового узла, бойлера</t>
  </si>
  <si>
    <t>текущий ремонт</t>
  </si>
  <si>
    <t>хамена счетчика ГВС</t>
  </si>
  <si>
    <t>6.6.1 Расчет (обоснование) расходов на оплату прочих работ, услуг &lt;14&gt;</t>
  </si>
  <si>
    <t>услуги по наблюдению и реагированию на сигналы КЭВП</t>
  </si>
  <si>
    <t>ежемесячный съем показаний с узла учета тепловой энергии</t>
  </si>
  <si>
    <t>сопровождение задач информационной системы бухгалтерского учета</t>
  </si>
  <si>
    <t>услуги охраны</t>
  </si>
  <si>
    <t>электронная система "Госфинансы"</t>
  </si>
  <si>
    <t>услуги технического мониторинга</t>
  </si>
  <si>
    <t>электронные ключи</t>
  </si>
  <si>
    <t>опубликование сообщения</t>
  </si>
  <si>
    <t>страхование имущества</t>
  </si>
  <si>
    <t>пробы песка</t>
  </si>
  <si>
    <t>поверка весов</t>
  </si>
  <si>
    <t>курсы повышения квалификации педагогического персонала</t>
  </si>
  <si>
    <t>6.7.1  Расчет (обоснование) расходов на приобретение основных средств &lt;15&gt;</t>
  </si>
  <si>
    <t>учебники</t>
  </si>
  <si>
    <t>планшеты, ноутбуки</t>
  </si>
  <si>
    <t>игровое оборудование, малые формы</t>
  </si>
  <si>
    <t>6.8.1  Расчет (обоснование) расходов на приобретение материальных запасов &lt;15&gt;</t>
  </si>
  <si>
    <t>чистящие и моющие средства</t>
  </si>
  <si>
    <t>посуда</t>
  </si>
  <si>
    <t>канцелярские товары</t>
  </si>
  <si>
    <t>объекты доступной среды</t>
  </si>
  <si>
    <t>песок</t>
  </si>
  <si>
    <t xml:space="preserve">1.3.1  Расчеты (обоснования) выплат персоналу и выплат по уходу за ребенком </t>
  </si>
  <si>
    <t>единовременные выплаты - 23 статья</t>
  </si>
  <si>
    <t>2.1 Расчет (обоснование) расходов на социальные и иные выплаты населению (строка 220) &lt;5&gt;</t>
  </si>
  <si>
    <t>Ожидаемая кредиторская задолженность на 01.01.2019г. по предоставление бесплатного питания отдельным категориям учащихся в общеобразовательных учреждениях</t>
  </si>
  <si>
    <t>Обеспечение работников путевками на санаторно-курортное лечение и оздоровление</t>
  </si>
  <si>
    <t>Конвертация</t>
  </si>
  <si>
    <t>конвертация</t>
  </si>
  <si>
    <t>1.1 Расчеты (обоснования) выплат персоналу (строка 210) &lt;2&gt;</t>
  </si>
  <si>
    <t>Административный штраф</t>
  </si>
  <si>
    <t>ремонт отопления в спортзале</t>
  </si>
  <si>
    <t>ремонт кровли склада</t>
  </si>
  <si>
    <t>кронирование деревьев</t>
  </si>
  <si>
    <t>ремонт в прачечной</t>
  </si>
  <si>
    <t>дог.\гпх</t>
  </si>
  <si>
    <t>курсы повышения квалификации</t>
  </si>
  <si>
    <t>ежемесячное вознаграждение Лецензиара</t>
  </si>
  <si>
    <t>договор ГПХ</t>
  </si>
  <si>
    <t>расходы на медосмотр</t>
  </si>
  <si>
    <t>культуроно-массовое мероприятие</t>
  </si>
  <si>
    <t>интерактивное и игровое оборудование</t>
  </si>
  <si>
    <t>малые формы</t>
  </si>
  <si>
    <t>раскладушки</t>
  </si>
  <si>
    <t>продукты питания (школа)</t>
  </si>
  <si>
    <t>продукты питания (сотрудники)</t>
  </si>
  <si>
    <t>продукты питания (сад)</t>
  </si>
  <si>
    <t>светильники</t>
  </si>
  <si>
    <t>кухонный инвентарь</t>
  </si>
  <si>
    <t>1.3.  Расчеты (обоснования) выплат персоналу по уходу за ребенком, первые 3 дня больничного</t>
  </si>
  <si>
    <t>первые 3 дня больничного за счет работодателя</t>
  </si>
  <si>
    <t>6.8.1  Расчет (обоснование) расходов на приобретение продуктов питания</t>
  </si>
  <si>
    <t>Страхование</t>
  </si>
  <si>
    <t>6.8.  Расчет (обоснование) расходов на приобретение основных средств &lt;15&gt;</t>
  </si>
  <si>
    <t>6.9.  Расчет (обоснование) расходов на приобретение материальных запасов &lt;15&gt;</t>
  </si>
  <si>
    <t>6.10.  Расчет (обоснование) расходов на прочие расходы</t>
  </si>
  <si>
    <t>6.7.  Расчет (обоснование) расходов на страхование</t>
  </si>
  <si>
    <t>Пошлина за переоформление свидетельства о гос аккредитации</t>
  </si>
  <si>
    <t>План по состоянию на 24.07.2019 (руб)</t>
  </si>
  <si>
    <t xml:space="preserve">Заместитель начальника департамента
по управлению муниципальными ресурсами-
начальник управления персоналом
</t>
  </si>
  <si>
    <t>Бусова О.В.</t>
  </si>
  <si>
    <t>Отдел планирования и исполнения доходов МКУ «ЦБУиО»</t>
  </si>
  <si>
    <t>901010000</t>
  </si>
  <si>
    <t>Микрорайоны</t>
  </si>
  <si>
    <t>Перераспределение в части ФОТ для компенсации</t>
  </si>
  <si>
    <t>План по состоянию на 09.08.2019 (руб)</t>
  </si>
  <si>
    <t>к плану Финансово-хозяйственной деятельности от     09.08.2019 года</t>
  </si>
  <si>
    <t>Для оплаты пособия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</si>
</sst>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sz val="12"/>
      <color indexed="9"/>
      <name val="Times New Roman"/>
      <family val="1"/>
    </font>
    <font>
      <sz val="5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5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9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93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93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93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93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93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94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95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96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9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99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102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10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4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5" fillId="0" borderId="0" applyNumberFormat="0" applyFill="0" applyBorder="0" applyAlignment="0" applyProtection="0"/>
    <xf numFmtId="0" fontId="106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0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10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0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77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11" fillId="0" borderId="13" xfId="0" applyFont="1" applyBorder="1" applyAlignment="1">
      <alignment vertical="top" wrapText="1"/>
    </xf>
    <xf numFmtId="0" fontId="11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1" fillId="0" borderId="0" xfId="0" applyFont="1" applyAlignment="1">
      <alignment/>
    </xf>
    <xf numFmtId="0" fontId="111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111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1" fillId="0" borderId="32" xfId="0" applyFont="1" applyBorder="1" applyAlignment="1">
      <alignment vertical="top" wrapText="1"/>
    </xf>
    <xf numFmtId="0" fontId="112" fillId="0" borderId="0" xfId="0" applyFont="1" applyAlignment="1">
      <alignment/>
    </xf>
    <xf numFmtId="0" fontId="1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11" fillId="0" borderId="33" xfId="0" applyFont="1" applyBorder="1" applyAlignment="1">
      <alignment/>
    </xf>
    <xf numFmtId="0" fontId="0" fillId="0" borderId="33" xfId="0" applyBorder="1" applyAlignment="1">
      <alignment/>
    </xf>
    <xf numFmtId="2" fontId="11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11" fillId="0" borderId="0" xfId="0" applyFont="1" applyFill="1" applyAlignment="1">
      <alignment horizontal="center"/>
    </xf>
    <xf numFmtId="0" fontId="111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101" fillId="0" borderId="13" xfId="0" applyFont="1" applyBorder="1" applyAlignment="1">
      <alignment horizontal="center"/>
    </xf>
    <xf numFmtId="0" fontId="10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14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11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17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17" fillId="105" borderId="13" xfId="0" applyFont="1" applyFill="1" applyBorder="1" applyAlignment="1">
      <alignment horizontal="center" vertical="top" wrapText="1"/>
    </xf>
    <xf numFmtId="0" fontId="117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17" fillId="0" borderId="36" xfId="0" applyFont="1" applyBorder="1" applyAlignment="1">
      <alignment vertical="center" wrapText="1"/>
    </xf>
    <xf numFmtId="0" fontId="117" fillId="0" borderId="13" xfId="0" applyFont="1" applyBorder="1" applyAlignment="1">
      <alignment horizontal="center" vertical="top" wrapText="1"/>
    </xf>
    <xf numFmtId="0" fontId="117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17" fillId="0" borderId="36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horizontal="center" vertical="top" wrapText="1"/>
    </xf>
    <xf numFmtId="49" fontId="117" fillId="0" borderId="13" xfId="0" applyNumberFormat="1" applyFont="1" applyFill="1" applyBorder="1" applyAlignment="1">
      <alignment horizontal="center" vertical="top" wrapText="1"/>
    </xf>
    <xf numFmtId="49" fontId="117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17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17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left" vertical="top" wrapText="1"/>
    </xf>
    <xf numFmtId="0" fontId="117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0" fontId="117" fillId="0" borderId="35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18" fillId="0" borderId="13" xfId="0" applyFont="1" applyBorder="1" applyAlignment="1">
      <alignment vertical="center" wrapText="1"/>
    </xf>
    <xf numFmtId="0" fontId="118" fillId="0" borderId="13" xfId="0" applyFont="1" applyFill="1" applyBorder="1" applyAlignment="1">
      <alignment vertical="center" wrapText="1"/>
    </xf>
    <xf numFmtId="0" fontId="118" fillId="0" borderId="30" xfId="0" applyFont="1" applyFill="1" applyBorder="1" applyAlignment="1">
      <alignment horizontal="left" vertical="center" wrapText="1"/>
    </xf>
    <xf numFmtId="0" fontId="117" fillId="0" borderId="31" xfId="0" applyFont="1" applyFill="1" applyBorder="1" applyAlignment="1">
      <alignment horizontal="center" vertical="top" wrapText="1"/>
    </xf>
    <xf numFmtId="0" fontId="117" fillId="0" borderId="30" xfId="0" applyFont="1" applyFill="1" applyBorder="1" applyAlignment="1">
      <alignment horizontal="center" vertical="top" wrapText="1"/>
    </xf>
    <xf numFmtId="49" fontId="117" fillId="0" borderId="34" xfId="0" applyNumberFormat="1" applyFont="1" applyFill="1" applyBorder="1" applyAlignment="1">
      <alignment vertical="top" wrapText="1"/>
    </xf>
    <xf numFmtId="0" fontId="117" fillId="0" borderId="32" xfId="0" applyFont="1" applyFill="1" applyBorder="1" applyAlignment="1">
      <alignment horizontal="center" vertical="top" wrapText="1"/>
    </xf>
    <xf numFmtId="0" fontId="117" fillId="0" borderId="13" xfId="0" applyFont="1" applyFill="1" applyBorder="1" applyAlignment="1">
      <alignment vertical="top" wrapText="1"/>
    </xf>
    <xf numFmtId="0" fontId="117" fillId="0" borderId="34" xfId="0" applyFont="1" applyFill="1" applyBorder="1" applyAlignment="1">
      <alignment vertical="top" wrapText="1"/>
    </xf>
    <xf numFmtId="0" fontId="117" fillId="0" borderId="31" xfId="0" applyFont="1" applyFill="1" applyBorder="1" applyAlignment="1">
      <alignment vertical="top" wrapText="1"/>
    </xf>
    <xf numFmtId="0" fontId="117" fillId="0" borderId="38" xfId="0" applyFont="1" applyFill="1" applyBorder="1" applyAlignment="1">
      <alignment vertical="top" wrapText="1"/>
    </xf>
    <xf numFmtId="0" fontId="119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vertical="center" wrapText="1"/>
    </xf>
    <xf numFmtId="0" fontId="121" fillId="0" borderId="13" xfId="0" applyFont="1" applyFill="1" applyBorder="1" applyAlignment="1">
      <alignment horizontal="center" vertical="top" wrapText="1"/>
    </xf>
    <xf numFmtId="0" fontId="121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21" fillId="0" borderId="13" xfId="0" applyFont="1" applyFill="1" applyBorder="1" applyAlignment="1">
      <alignment vertical="center" wrapText="1"/>
    </xf>
    <xf numFmtId="0" fontId="121" fillId="105" borderId="13" xfId="0" applyFont="1" applyFill="1" applyBorder="1" applyAlignment="1">
      <alignment horizontal="center" vertical="top" wrapText="1"/>
    </xf>
    <xf numFmtId="0" fontId="121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21" fillId="0" borderId="36" xfId="0" applyFont="1" applyFill="1" applyBorder="1" applyAlignment="1">
      <alignment vertical="center" wrapText="1"/>
    </xf>
    <xf numFmtId="49" fontId="121" fillId="0" borderId="13" xfId="0" applyNumberFormat="1" applyFont="1" applyFill="1" applyBorder="1" applyAlignment="1">
      <alignment horizontal="center" vertical="top" wrapText="1"/>
    </xf>
    <xf numFmtId="49" fontId="121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21" fillId="0" borderId="13" xfId="0" applyFont="1" applyBorder="1" applyAlignment="1">
      <alignment horizontal="center" vertical="top" wrapText="1"/>
    </xf>
    <xf numFmtId="4" fontId="121" fillId="0" borderId="13" xfId="0" applyNumberFormat="1" applyFont="1" applyBorder="1" applyAlignment="1">
      <alignment horizontal="center" vertical="top" wrapText="1"/>
    </xf>
    <xf numFmtId="0" fontId="120" fillId="0" borderId="13" xfId="0" applyFont="1" applyBorder="1" applyAlignment="1">
      <alignment vertical="center" wrapText="1"/>
    </xf>
    <xf numFmtId="0" fontId="121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11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13" fillId="0" borderId="13" xfId="606" applyNumberFormat="1" applyFont="1" applyFill="1" applyBorder="1" applyAlignment="1">
      <alignment horizontal="center" wrapText="1"/>
      <protection/>
    </xf>
    <xf numFmtId="0" fontId="113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13" fillId="0" borderId="0" xfId="606" applyFont="1" applyFill="1" applyBorder="1" applyAlignment="1">
      <alignment horizontal="center" vertical="top" wrapText="1"/>
      <protection/>
    </xf>
    <xf numFmtId="0" fontId="113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11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11" fillId="0" borderId="0" xfId="580" applyFont="1" applyFill="1">
      <alignment/>
      <protection/>
    </xf>
    <xf numFmtId="0" fontId="111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13" fillId="0" borderId="13" xfId="606" applyNumberFormat="1" applyFont="1" applyFill="1" applyBorder="1" applyAlignment="1">
      <alignment horizontal="center" wrapText="1"/>
      <protection/>
    </xf>
    <xf numFmtId="171" fontId="113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17" fillId="0" borderId="13" xfId="0" applyFont="1" applyFill="1" applyBorder="1" applyAlignment="1">
      <alignment horizontal="center" vertical="center" wrapText="1"/>
    </xf>
    <xf numFmtId="49" fontId="117" fillId="0" borderId="13" xfId="0" applyNumberFormat="1" applyFont="1" applyFill="1" applyBorder="1" applyAlignment="1">
      <alignment horizontal="center" vertical="center" wrapText="1"/>
    </xf>
    <xf numFmtId="171" fontId="69" fillId="0" borderId="0" xfId="580" applyNumberFormat="1" applyFont="1" applyFill="1" applyBorder="1">
      <alignment/>
      <protection/>
    </xf>
    <xf numFmtId="0" fontId="70" fillId="0" borderId="36" xfId="580" applyNumberFormat="1" applyFont="1" applyFill="1" applyBorder="1" applyAlignment="1">
      <alignment horizontal="center" vertical="center"/>
      <protection/>
    </xf>
    <xf numFmtId="4" fontId="70" fillId="0" borderId="13" xfId="580" applyNumberFormat="1" applyFont="1" applyFill="1" applyBorder="1" applyAlignment="1">
      <alignment horizontal="center" vertical="center"/>
      <protection/>
    </xf>
    <xf numFmtId="0" fontId="70" fillId="0" borderId="0" xfId="580" applyNumberFormat="1" applyFont="1" applyFill="1" applyBorder="1" applyAlignment="1">
      <alignment horizontal="center"/>
      <protection/>
    </xf>
    <xf numFmtId="0" fontId="70" fillId="0" borderId="0" xfId="580" applyFont="1" applyFill="1" applyBorder="1">
      <alignment/>
      <protection/>
    </xf>
    <xf numFmtId="0" fontId="70" fillId="0" borderId="0" xfId="580" applyFont="1" applyFill="1">
      <alignment/>
      <protection/>
    </xf>
    <xf numFmtId="49" fontId="71" fillId="0" borderId="39" xfId="580" applyNumberFormat="1" applyFont="1" applyFill="1" applyBorder="1" applyAlignment="1">
      <alignment horizontal="left"/>
      <protection/>
    </xf>
    <xf numFmtId="49" fontId="71" fillId="0" borderId="33" xfId="580" applyNumberFormat="1" applyFont="1" applyFill="1" applyBorder="1" applyAlignment="1">
      <alignment horizontal="left"/>
      <protection/>
    </xf>
    <xf numFmtId="0" fontId="74" fillId="0" borderId="39" xfId="580" applyNumberFormat="1" applyFont="1" applyFill="1" applyBorder="1" applyAlignment="1">
      <alignment horizontal="center"/>
      <protection/>
    </xf>
    <xf numFmtId="4" fontId="71" fillId="0" borderId="0" xfId="580" applyNumberFormat="1" applyFont="1" applyFill="1">
      <alignment/>
      <protection/>
    </xf>
    <xf numFmtId="0" fontId="117" fillId="0" borderId="0" xfId="0" applyFont="1" applyAlignment="1">
      <alignment wrapText="1"/>
    </xf>
    <xf numFmtId="0" fontId="71" fillId="0" borderId="36" xfId="580" applyFont="1" applyFill="1" applyBorder="1" applyAlignment="1">
      <alignment horizontal="center" vertical="center"/>
      <protection/>
    </xf>
    <xf numFmtId="0" fontId="71" fillId="0" borderId="13" xfId="580" applyFont="1" applyFill="1" applyBorder="1" applyAlignment="1">
      <alignment horizontal="center" vertical="center"/>
      <protection/>
    </xf>
    <xf numFmtId="0" fontId="74" fillId="0" borderId="0" xfId="580" applyNumberFormat="1" applyFont="1" applyFill="1" applyBorder="1" applyAlignment="1">
      <alignment horizontal="center" vertical="center"/>
      <protection/>
    </xf>
    <xf numFmtId="49" fontId="74" fillId="0" borderId="0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 applyBorder="1">
      <alignment/>
      <protection/>
    </xf>
    <xf numFmtId="0" fontId="69" fillId="0" borderId="13" xfId="580" applyFont="1" applyFill="1" applyBorder="1" applyAlignment="1">
      <alignment vertical="center"/>
      <protection/>
    </xf>
    <xf numFmtId="0" fontId="7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1" fontId="3" fillId="0" borderId="13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 indent="1"/>
    </xf>
    <xf numFmtId="0" fontId="2" fillId="10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vertical="center"/>
    </xf>
    <xf numFmtId="4" fontId="122" fillId="0" borderId="13" xfId="0" applyNumberFormat="1" applyFont="1" applyBorder="1" applyAlignment="1">
      <alignment horizontal="center" vertical="center"/>
    </xf>
    <xf numFmtId="4" fontId="123" fillId="0" borderId="13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171" fontId="2" fillId="0" borderId="13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171" fontId="8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117" fillId="0" borderId="13" xfId="0" applyFont="1" applyBorder="1" applyAlignment="1">
      <alignment horizontal="left" vertical="center" wrapText="1"/>
    </xf>
    <xf numFmtId="171" fontId="93" fillId="0" borderId="0" xfId="0" applyNumberFormat="1" applyFont="1" applyAlignment="1">
      <alignment/>
    </xf>
    <xf numFmtId="0" fontId="2" fillId="0" borderId="31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vertical="center" wrapText="1"/>
    </xf>
    <xf numFmtId="0" fontId="78" fillId="0" borderId="0" xfId="0" applyFont="1" applyAlignment="1">
      <alignment/>
    </xf>
    <xf numFmtId="0" fontId="3" fillId="0" borderId="0" xfId="0" applyFont="1" applyAlignment="1">
      <alignment horizontal="right"/>
    </xf>
    <xf numFmtId="0" fontId="81" fillId="0" borderId="13" xfId="0" applyFont="1" applyBorder="1" applyAlignment="1">
      <alignment horizontal="center" vertical="center"/>
    </xf>
    <xf numFmtId="171" fontId="78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 indent="1"/>
    </xf>
    <xf numFmtId="0" fontId="78" fillId="0" borderId="36" xfId="0" applyFont="1" applyBorder="1" applyAlignment="1">
      <alignment vertical="center"/>
    </xf>
    <xf numFmtId="0" fontId="78" fillId="0" borderId="41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171" fontId="78" fillId="0" borderId="13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171" fontId="78" fillId="106" borderId="13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171" fontId="81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/>
    </xf>
    <xf numFmtId="171" fontId="7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8" fillId="0" borderId="33" xfId="0" applyFont="1" applyBorder="1" applyAlignment="1">
      <alignment/>
    </xf>
    <xf numFmtId="0" fontId="3" fillId="0" borderId="13" xfId="0" applyFont="1" applyBorder="1" applyAlignment="1">
      <alignment vertical="center"/>
    </xf>
    <xf numFmtId="171" fontId="78" fillId="0" borderId="13" xfId="0" applyNumberFormat="1" applyFont="1" applyFill="1" applyBorder="1" applyAlignment="1">
      <alignment vertical="center"/>
    </xf>
    <xf numFmtId="0" fontId="78" fillId="0" borderId="34" xfId="0" applyFont="1" applyBorder="1" applyAlignment="1">
      <alignment vertical="center"/>
    </xf>
    <xf numFmtId="0" fontId="69" fillId="0" borderId="34" xfId="0" applyFont="1" applyBorder="1" applyAlignment="1">
      <alignment horizontal="center" wrapText="1"/>
    </xf>
    <xf numFmtId="0" fontId="69" fillId="0" borderId="36" xfId="0" applyFont="1" applyBorder="1" applyAlignment="1">
      <alignment horizontal="center" wrapText="1"/>
    </xf>
    <xf numFmtId="4" fontId="124" fillId="0" borderId="0" xfId="580" applyNumberFormat="1" applyFont="1" applyFill="1" applyBorder="1">
      <alignment/>
      <protection/>
    </xf>
    <xf numFmtId="4" fontId="4" fillId="106" borderId="34" xfId="0" applyNumberFormat="1" applyFont="1" applyFill="1" applyBorder="1" applyAlignment="1">
      <alignment horizontal="center" vertical="center" wrapText="1"/>
    </xf>
    <xf numFmtId="4" fontId="18" fillId="106" borderId="34" xfId="0" applyNumberFormat="1" applyFont="1" applyFill="1" applyBorder="1" applyAlignment="1">
      <alignment horizontal="center" vertical="center" wrapText="1"/>
    </xf>
    <xf numFmtId="0" fontId="124" fillId="106" borderId="0" xfId="580" applyFont="1" applyFill="1">
      <alignment/>
      <protection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11" fillId="0" borderId="13" xfId="0" applyNumberFormat="1" applyFont="1" applyBorder="1" applyAlignment="1">
      <alignment vertical="top" wrapText="1"/>
    </xf>
    <xf numFmtId="0" fontId="125" fillId="0" borderId="0" xfId="0" applyFont="1" applyAlignment="1">
      <alignment vertical="center"/>
    </xf>
    <xf numFmtId="0" fontId="111" fillId="0" borderId="0" xfId="0" applyFont="1" applyAlignment="1">
      <alignment horizontal="justify" vertical="center"/>
    </xf>
    <xf numFmtId="0" fontId="117" fillId="0" borderId="13" xfId="0" applyFont="1" applyBorder="1" applyAlignment="1">
      <alignment vertical="center" wrapText="1"/>
    </xf>
    <xf numFmtId="0" fontId="117" fillId="0" borderId="13" xfId="0" applyFont="1" applyBorder="1" applyAlignment="1">
      <alignment horizontal="center" vertical="center" wrapText="1"/>
    </xf>
    <xf numFmtId="0" fontId="121" fillId="0" borderId="13" xfId="0" applyFont="1" applyBorder="1" applyAlignment="1">
      <alignment vertical="center" wrapText="1"/>
    </xf>
    <xf numFmtId="0" fontId="121" fillId="0" borderId="13" xfId="0" applyFont="1" applyBorder="1" applyAlignment="1">
      <alignment horizontal="left" vertical="center" wrapText="1" indent="1"/>
    </xf>
    <xf numFmtId="0" fontId="126" fillId="0" borderId="13" xfId="0" applyFont="1" applyBorder="1" applyAlignment="1">
      <alignment vertical="center" wrapText="1"/>
    </xf>
    <xf numFmtId="0" fontId="117" fillId="0" borderId="0" xfId="0" applyFont="1" applyAlignment="1">
      <alignment horizontal="left" vertical="center" indent="11"/>
    </xf>
    <xf numFmtId="0" fontId="111" fillId="0" borderId="0" xfId="0" applyFont="1" applyAlignment="1">
      <alignment vertical="center"/>
    </xf>
    <xf numFmtId="2" fontId="69" fillId="0" borderId="13" xfId="580" applyNumberFormat="1" applyFont="1" applyFill="1" applyBorder="1" applyAlignment="1">
      <alignment horizontal="center"/>
      <protection/>
    </xf>
    <xf numFmtId="171" fontId="69" fillId="0" borderId="13" xfId="0" applyNumberFormat="1" applyFont="1" applyFill="1" applyBorder="1" applyAlignment="1">
      <alignment wrapText="1"/>
    </xf>
    <xf numFmtId="0" fontId="117" fillId="0" borderId="36" xfId="0" applyFont="1" applyBorder="1" applyAlignment="1">
      <alignment vertical="top" wrapText="1"/>
    </xf>
    <xf numFmtId="4" fontId="9" fillId="0" borderId="34" xfId="0" applyNumberFormat="1" applyFont="1" applyBorder="1" applyAlignment="1">
      <alignment horizontal="center" vertical="center" wrapText="1"/>
    </xf>
    <xf numFmtId="4" fontId="41" fillId="0" borderId="34" xfId="0" applyNumberFormat="1" applyFont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top" wrapText="1"/>
    </xf>
    <xf numFmtId="49" fontId="123" fillId="0" borderId="13" xfId="0" applyNumberFormat="1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Border="1" applyAlignment="1">
      <alignment horizontal="center" vertical="center" wrapText="1"/>
    </xf>
    <xf numFmtId="49" fontId="123" fillId="0" borderId="34" xfId="0" applyNumberFormat="1" applyFont="1" applyFill="1" applyBorder="1" applyAlignment="1">
      <alignment horizontal="center" vertical="top" wrapText="1"/>
    </xf>
    <xf numFmtId="4" fontId="41" fillId="0" borderId="3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123" fillId="0" borderId="13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top" wrapText="1"/>
    </xf>
    <xf numFmtId="0" fontId="123" fillId="0" borderId="30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171" fontId="4" fillId="0" borderId="13" xfId="1089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171" fontId="81" fillId="0" borderId="13" xfId="0" applyNumberFormat="1" applyFont="1" applyFill="1" applyBorder="1" applyAlignment="1">
      <alignment horizontal="center" vertical="center"/>
    </xf>
    <xf numFmtId="0" fontId="111" fillId="0" borderId="0" xfId="606" applyFont="1" applyFill="1" applyBorder="1" applyAlignment="1">
      <alignment horizontal="left" vertical="top" wrapText="1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0" fontId="71" fillId="0" borderId="0" xfId="580" applyFont="1" applyFill="1" applyBorder="1" applyAlignment="1">
      <alignment horizontal="center"/>
      <protection/>
    </xf>
    <xf numFmtId="0" fontId="111" fillId="0" borderId="0" xfId="580" applyFont="1" applyFill="1" applyBorder="1" applyAlignment="1">
      <alignment horizontal="center" vertical="center"/>
      <protection/>
    </xf>
    <xf numFmtId="4" fontId="122" fillId="0" borderId="13" xfId="0" applyNumberFormat="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top" wrapText="1"/>
    </xf>
    <xf numFmtId="4" fontId="67" fillId="0" borderId="13" xfId="580" applyNumberFormat="1" applyFont="1" applyFill="1" applyBorder="1" applyAlignment="1">
      <alignment horizontal="center" vertical="center"/>
      <protection/>
    </xf>
    <xf numFmtId="0" fontId="113" fillId="0" borderId="13" xfId="606" applyFont="1" applyFill="1" applyBorder="1" applyAlignment="1">
      <alignment horizontal="center" wrapText="1"/>
      <protection/>
    </xf>
    <xf numFmtId="4" fontId="82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vertical="center" wrapText="1"/>
      <protection/>
    </xf>
    <xf numFmtId="4" fontId="69" fillId="0" borderId="13" xfId="580" applyNumberFormat="1" applyFont="1" applyFill="1" applyBorder="1" applyAlignment="1">
      <alignment vertical="center"/>
      <protection/>
    </xf>
    <xf numFmtId="4" fontId="82" fillId="0" borderId="13" xfId="580" applyNumberFormat="1" applyFont="1" applyFill="1" applyBorder="1" applyAlignment="1">
      <alignment horizontal="center"/>
      <protection/>
    </xf>
    <xf numFmtId="4" fontId="69" fillId="0" borderId="36" xfId="580" applyNumberFormat="1" applyFont="1" applyFill="1" applyBorder="1" applyAlignment="1">
      <alignment horizontal="center" vertical="center"/>
      <protection/>
    </xf>
    <xf numFmtId="4" fontId="82" fillId="0" borderId="36" xfId="580" applyNumberFormat="1" applyFont="1" applyFill="1" applyBorder="1" applyAlignment="1">
      <alignment horizontal="center" vertical="center"/>
      <protection/>
    </xf>
    <xf numFmtId="49" fontId="71" fillId="0" borderId="0" xfId="580" applyNumberFormat="1" applyFont="1" applyFill="1" applyBorder="1" applyAlignment="1">
      <alignment horizontal="left"/>
      <protection/>
    </xf>
    <xf numFmtId="0" fontId="74" fillId="0" borderId="0" xfId="580" applyNumberFormat="1" applyFont="1" applyFill="1" applyBorder="1" applyAlignment="1">
      <alignment horizontal="center"/>
      <protection/>
    </xf>
    <xf numFmtId="171" fontId="70" fillId="0" borderId="0" xfId="580" applyNumberFormat="1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left" vertical="center" wrapText="1"/>
      <protection/>
    </xf>
    <xf numFmtId="0" fontId="67" fillId="0" borderId="39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/>
      <protection/>
    </xf>
    <xf numFmtId="171" fontId="71" fillId="0" borderId="0" xfId="580" applyNumberFormat="1" applyFont="1" applyFill="1" applyBorder="1" applyAlignment="1">
      <alignment horizontal="center"/>
      <protection/>
    </xf>
    <xf numFmtId="171" fontId="71" fillId="0" borderId="0" xfId="580" applyNumberFormat="1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/>
      <protection/>
    </xf>
    <xf numFmtId="0" fontId="69" fillId="0" borderId="13" xfId="580" applyFont="1" applyFill="1" applyBorder="1" applyAlignment="1">
      <alignment horizontal="left" vertical="center" wrapText="1"/>
      <protection/>
    </xf>
    <xf numFmtId="0" fontId="70" fillId="0" borderId="13" xfId="580" applyFont="1" applyFill="1" applyBorder="1" applyAlignment="1">
      <alignment horizontal="center" vertical="center"/>
      <protection/>
    </xf>
    <xf numFmtId="0" fontId="70" fillId="0" borderId="36" xfId="580" applyFont="1" applyFill="1" applyBorder="1" applyAlignment="1">
      <alignment horizontal="center" vertical="center"/>
      <protection/>
    </xf>
    <xf numFmtId="4" fontId="74" fillId="0" borderId="13" xfId="580" applyNumberFormat="1" applyFont="1" applyFill="1" applyBorder="1" applyAlignment="1">
      <alignment horizontal="center" vertical="center"/>
      <protection/>
    </xf>
    <xf numFmtId="4" fontId="71" fillId="0" borderId="0" xfId="580" applyNumberFormat="1" applyFont="1" applyFill="1" applyBorder="1" applyAlignment="1">
      <alignment horizontal="center"/>
      <protection/>
    </xf>
    <xf numFmtId="4" fontId="127" fillId="0" borderId="0" xfId="580" applyNumberFormat="1" applyFont="1" applyFill="1" applyBorder="1" applyAlignment="1">
      <alignment horizontal="center" vertical="center"/>
      <protection/>
    </xf>
    <xf numFmtId="0" fontId="128" fillId="0" borderId="0" xfId="580" applyFont="1" applyFill="1" applyBorder="1">
      <alignment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1" xfId="580" applyFont="1" applyFill="1" applyBorder="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69" fillId="0" borderId="34" xfId="580" applyFont="1" applyFill="1" applyBorder="1" applyAlignment="1">
      <alignment horizontal="left" vertical="top"/>
      <protection/>
    </xf>
    <xf numFmtId="0" fontId="69" fillId="0" borderId="41" xfId="580" applyFont="1" applyFill="1" applyBorder="1" applyAlignment="1">
      <alignment horizontal="center" vertical="center"/>
      <protection/>
    </xf>
    <xf numFmtId="0" fontId="67" fillId="0" borderId="39" xfId="580" applyFont="1" applyFill="1" applyBorder="1" applyAlignment="1">
      <alignment horizontal="center"/>
      <protection/>
    </xf>
    <xf numFmtId="0" fontId="69" fillId="0" borderId="34" xfId="0" applyFont="1" applyBorder="1" applyAlignment="1">
      <alignment horizontal="center" vertical="center" wrapText="1"/>
    </xf>
    <xf numFmtId="0" fontId="69" fillId="0" borderId="41" xfId="580" applyFont="1" applyFill="1" applyBorder="1" applyAlignment="1">
      <alignment horizontal="left" vertical="top"/>
      <protection/>
    </xf>
    <xf numFmtId="176" fontId="71" fillId="0" borderId="13" xfId="1068" applyNumberFormat="1" applyFont="1" applyFill="1" applyBorder="1" applyAlignment="1">
      <alignment horizontal="center"/>
    </xf>
    <xf numFmtId="171" fontId="71" fillId="0" borderId="13" xfId="0" applyNumberFormat="1" applyFont="1" applyBorder="1" applyAlignment="1">
      <alignment horizontal="center"/>
    </xf>
    <xf numFmtId="171" fontId="71" fillId="0" borderId="13" xfId="0" applyNumberFormat="1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1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43" fontId="69" fillId="0" borderId="0" xfId="580" applyNumberFormat="1" applyFont="1" applyFill="1" applyBorder="1">
      <alignment/>
      <protection/>
    </xf>
    <xf numFmtId="43" fontId="69" fillId="0" borderId="0" xfId="580" applyNumberFormat="1" applyFont="1" applyFill="1" applyBorder="1" applyAlignment="1">
      <alignment horizontal="center"/>
      <protection/>
    </xf>
    <xf numFmtId="49" fontId="117" fillId="0" borderId="34" xfId="0" applyNumberFormat="1" applyFont="1" applyBorder="1" applyAlignment="1">
      <alignment horizontal="center" vertical="center" wrapText="1"/>
    </xf>
    <xf numFmtId="0" fontId="67" fillId="0" borderId="41" xfId="580" applyNumberFormat="1" applyFont="1" applyFill="1" applyBorder="1" applyAlignment="1">
      <alignment horizontal="center" wrapText="1"/>
      <protection/>
    </xf>
    <xf numFmtId="4" fontId="74" fillId="0" borderId="0" xfId="580" applyNumberFormat="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11" fillId="0" borderId="0" xfId="0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9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107" borderId="30" xfId="0" applyNumberFormat="1" applyFont="1" applyFill="1" applyBorder="1" applyAlignment="1">
      <alignment horizontal="center" vertical="center" wrapText="1"/>
    </xf>
    <xf numFmtId="4" fontId="13" fillId="107" borderId="32" xfId="0" applyNumberFormat="1" applyFont="1" applyFill="1" applyBorder="1" applyAlignment="1">
      <alignment horizontal="center" vertical="center" wrapText="1"/>
    </xf>
    <xf numFmtId="4" fontId="13" fillId="107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11" fillId="0" borderId="13" xfId="0" applyFont="1" applyBorder="1" applyAlignment="1">
      <alignment horizontal="center" vertical="top" wrapText="1"/>
    </xf>
    <xf numFmtId="0" fontId="111" fillId="0" borderId="35" xfId="0" applyFont="1" applyBorder="1" applyAlignment="1">
      <alignment horizontal="center" vertical="top" wrapText="1"/>
    </xf>
    <xf numFmtId="0" fontId="111" fillId="0" borderId="42" xfId="0" applyFont="1" applyBorder="1" applyAlignment="1">
      <alignment horizontal="center" vertical="top" wrapText="1"/>
    </xf>
    <xf numFmtId="0" fontId="111" fillId="0" borderId="43" xfId="0" applyFont="1" applyBorder="1" applyAlignment="1">
      <alignment horizontal="center" vertical="top" wrapText="1"/>
    </xf>
    <xf numFmtId="0" fontId="111" fillId="0" borderId="39" xfId="0" applyFont="1" applyBorder="1" applyAlignment="1">
      <alignment horizontal="center" vertical="top" wrapText="1"/>
    </xf>
    <xf numFmtId="0" fontId="111" fillId="0" borderId="33" xfId="0" applyFont="1" applyBorder="1" applyAlignment="1">
      <alignment horizontal="center" vertical="top" wrapText="1"/>
    </xf>
    <xf numFmtId="0" fontId="111" fillId="0" borderId="38" xfId="0" applyFont="1" applyBorder="1" applyAlignment="1">
      <alignment horizontal="center" vertical="top" wrapText="1"/>
    </xf>
    <xf numFmtId="0" fontId="111" fillId="0" borderId="0" xfId="0" applyFont="1" applyAlignment="1">
      <alignment horizontal="left" wrapText="1"/>
    </xf>
    <xf numFmtId="4" fontId="111" fillId="0" borderId="13" xfId="0" applyNumberFormat="1" applyFont="1" applyBorder="1" applyAlignment="1">
      <alignment wrapText="1"/>
    </xf>
    <xf numFmtId="0" fontId="111" fillId="0" borderId="31" xfId="0" applyFont="1" applyBorder="1" applyAlignment="1">
      <alignment vertical="top" wrapText="1"/>
    </xf>
    <xf numFmtId="0" fontId="111" fillId="0" borderId="13" xfId="0" applyFont="1" applyBorder="1" applyAlignment="1">
      <alignment vertical="top" wrapText="1"/>
    </xf>
    <xf numFmtId="0" fontId="111" fillId="0" borderId="13" xfId="0" applyFont="1" applyBorder="1" applyAlignment="1">
      <alignment horizontal="center" wrapText="1"/>
    </xf>
    <xf numFmtId="49" fontId="111" fillId="0" borderId="34" xfId="0" applyNumberFormat="1" applyFont="1" applyBorder="1" applyAlignment="1">
      <alignment horizontal="center" wrapText="1"/>
    </xf>
    <xf numFmtId="4" fontId="111" fillId="0" borderId="13" xfId="0" applyNumberFormat="1" applyFont="1" applyFill="1" applyBorder="1" applyAlignment="1">
      <alignment wrapText="1"/>
    </xf>
    <xf numFmtId="4" fontId="111" fillId="0" borderId="13" xfId="0" applyNumberFormat="1" applyFont="1" applyBorder="1" applyAlignment="1">
      <alignment vertical="top" wrapText="1"/>
    </xf>
    <xf numFmtId="0" fontId="130" fillId="0" borderId="0" xfId="0" applyFont="1" applyAlignment="1">
      <alignment horizontal="left" wrapText="1"/>
    </xf>
    <xf numFmtId="49" fontId="111" fillId="0" borderId="13" xfId="0" applyNumberFormat="1" applyFont="1" applyBorder="1" applyAlignment="1">
      <alignment horizontal="center" vertical="top" wrapText="1"/>
    </xf>
    <xf numFmtId="2" fontId="111" fillId="0" borderId="13" xfId="0" applyNumberFormat="1" applyFont="1" applyBorder="1" applyAlignment="1">
      <alignment vertical="top" wrapText="1"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1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1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11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1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1" xfId="580" applyNumberFormat="1" applyFont="1" applyFill="1" applyBorder="1" applyAlignment="1">
      <alignment horizontal="center" vertical="center" wrapText="1"/>
      <protection/>
    </xf>
    <xf numFmtId="0" fontId="113" fillId="0" borderId="36" xfId="606" applyFont="1" applyFill="1" applyBorder="1" applyAlignment="1">
      <alignment horizontal="left" vertical="top" wrapText="1"/>
      <protection/>
    </xf>
    <xf numFmtId="0" fontId="113" fillId="0" borderId="34" xfId="606" applyFont="1" applyFill="1" applyBorder="1" applyAlignment="1">
      <alignment horizontal="left" vertical="top" wrapText="1"/>
      <protection/>
    </xf>
    <xf numFmtId="0" fontId="111" fillId="0" borderId="0" xfId="606" applyFont="1" applyFill="1" applyBorder="1" applyAlignment="1">
      <alignment horizontal="justify" vertical="top" wrapText="1"/>
      <protection/>
    </xf>
    <xf numFmtId="0" fontId="111" fillId="0" borderId="0" xfId="606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1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left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71" fillId="0" borderId="0" xfId="580" applyFont="1" applyFill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71" fillId="0" borderId="36" xfId="580" applyNumberFormat="1" applyFont="1" applyFill="1" applyBorder="1" applyAlignment="1">
      <alignment horizontal="center" vertical="center"/>
      <protection/>
    </xf>
    <xf numFmtId="49" fontId="71" fillId="0" borderId="41" xfId="580" applyNumberFormat="1" applyFont="1" applyFill="1" applyBorder="1" applyAlignment="1">
      <alignment horizontal="center" vertical="center"/>
      <protection/>
    </xf>
    <xf numFmtId="49" fontId="71" fillId="0" borderId="34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1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41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vertical="center" wrapText="1"/>
      <protection/>
    </xf>
    <xf numFmtId="0" fontId="71" fillId="0" borderId="0" xfId="580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41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wrapText="1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1" xfId="580" applyFont="1" applyFill="1" applyBorder="1" applyAlignment="1">
      <alignment horizontal="left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36" xfId="580" applyFont="1" applyFill="1" applyBorder="1" applyAlignment="1">
      <alignment horizontal="left"/>
      <protection/>
    </xf>
    <xf numFmtId="0" fontId="71" fillId="0" borderId="41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69" fillId="0" borderId="36" xfId="580" applyFont="1" applyFill="1" applyBorder="1" applyAlignment="1">
      <alignment horizontal="left" wrapText="1"/>
      <protection/>
    </xf>
    <xf numFmtId="0" fontId="69" fillId="0" borderId="34" xfId="580" applyFont="1" applyFill="1" applyBorder="1" applyAlignment="1">
      <alignment horizontal="left" wrapText="1"/>
      <protection/>
    </xf>
    <xf numFmtId="0" fontId="71" fillId="0" borderId="13" xfId="580" applyFont="1" applyBorder="1" applyAlignment="1">
      <alignment horizontal="left" vertical="center"/>
      <protection/>
    </xf>
    <xf numFmtId="0" fontId="71" fillId="0" borderId="36" xfId="580" applyFont="1" applyBorder="1" applyAlignment="1">
      <alignment horizontal="left" vertical="center"/>
      <protection/>
    </xf>
    <xf numFmtId="0" fontId="71" fillId="0" borderId="41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11" fillId="0" borderId="0" xfId="580" applyFont="1" applyFill="1" applyBorder="1" applyAlignment="1">
      <alignment horizontal="center" vertical="center"/>
      <protection/>
    </xf>
    <xf numFmtId="0" fontId="69" fillId="0" borderId="13" xfId="580" applyFont="1" applyBorder="1" applyAlignment="1">
      <alignment horizontal="center" vertical="top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1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67" fillId="0" borderId="36" xfId="580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69" fillId="0" borderId="41" xfId="580" applyNumberFormat="1" applyFont="1" applyFill="1" applyBorder="1" applyAlignment="1">
      <alignment horizontal="left" vertical="center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71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center" wrapText="1"/>
      <protection/>
    </xf>
    <xf numFmtId="49" fontId="70" fillId="0" borderId="36" xfId="580" applyNumberFormat="1" applyFont="1" applyFill="1" applyBorder="1" applyAlignment="1">
      <alignment horizontal="left" vertical="center"/>
      <protection/>
    </xf>
    <xf numFmtId="49" fontId="70" fillId="0" borderId="34" xfId="580" applyNumberFormat="1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2" fontId="71" fillId="0" borderId="13" xfId="580" applyNumberFormat="1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113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21" fillId="0" borderId="13" xfId="0" applyFont="1" applyBorder="1" applyAlignment="1">
      <alignment horizontal="center" vertical="center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16">
      <selection activeCell="D22" sqref="D22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583" t="s">
        <v>31</v>
      </c>
      <c r="G1" s="583"/>
      <c r="H1" s="583"/>
    </row>
    <row r="2" spans="1:8" ht="11.25" customHeight="1">
      <c r="A2" s="11"/>
      <c r="F2" s="583" t="s">
        <v>29</v>
      </c>
      <c r="G2" s="583"/>
      <c r="H2" s="583"/>
    </row>
    <row r="3" spans="1:8" ht="11.25" customHeight="1">
      <c r="A3" s="12"/>
      <c r="F3" s="583" t="s">
        <v>27</v>
      </c>
      <c r="G3" s="583"/>
      <c r="H3" s="583"/>
    </row>
    <row r="4" spans="1:8" ht="11.25" customHeight="1">
      <c r="A4" s="12"/>
      <c r="F4" s="583" t="s">
        <v>14</v>
      </c>
      <c r="G4" s="583"/>
      <c r="H4" s="583"/>
    </row>
    <row r="5" spans="1:8" ht="30" customHeight="1">
      <c r="A5" s="13"/>
      <c r="F5" s="586"/>
      <c r="G5" s="586"/>
      <c r="H5" s="586"/>
    </row>
    <row r="6" spans="1:9" ht="27.75" customHeight="1">
      <c r="A6" s="90"/>
      <c r="B6" s="90"/>
      <c r="C6" s="90"/>
      <c r="D6" s="587"/>
      <c r="E6" s="587"/>
      <c r="F6" s="587"/>
      <c r="G6" s="587"/>
      <c r="H6" s="1"/>
      <c r="I6" s="7"/>
    </row>
    <row r="7" spans="1:9" ht="15" customHeight="1">
      <c r="A7" s="90"/>
      <c r="B7" s="90"/>
      <c r="C7" s="90"/>
      <c r="D7" s="91"/>
      <c r="E7" s="585" t="s">
        <v>15</v>
      </c>
      <c r="F7" s="585"/>
      <c r="G7" s="585"/>
      <c r="H7" s="585"/>
      <c r="I7" s="7"/>
    </row>
    <row r="8" spans="1:9" ht="15.75">
      <c r="A8" s="90"/>
      <c r="B8" s="90"/>
      <c r="C8" s="90"/>
      <c r="D8" s="91"/>
      <c r="E8" s="584" t="s">
        <v>486</v>
      </c>
      <c r="F8" s="584"/>
      <c r="G8" s="584"/>
      <c r="H8" s="584"/>
      <c r="I8" s="7"/>
    </row>
    <row r="9" spans="1:9" ht="15" customHeight="1">
      <c r="A9" s="91"/>
      <c r="B9" s="91"/>
      <c r="C9" s="91"/>
      <c r="D9" s="91"/>
      <c r="E9" s="577" t="s">
        <v>16</v>
      </c>
      <c r="F9" s="577"/>
      <c r="G9" s="577"/>
      <c r="H9" s="577"/>
      <c r="I9" s="573"/>
    </row>
    <row r="10" spans="1:9" ht="15" customHeight="1">
      <c r="A10" s="91"/>
      <c r="B10" s="91"/>
      <c r="C10" s="91"/>
      <c r="D10" s="91"/>
      <c r="E10" s="93"/>
      <c r="F10" s="93"/>
      <c r="G10" s="584" t="s">
        <v>487</v>
      </c>
      <c r="H10" s="584"/>
      <c r="I10" s="573"/>
    </row>
    <row r="11" spans="1:9" ht="16.5" customHeight="1">
      <c r="A11" s="90"/>
      <c r="B11" s="90"/>
      <c r="C11" s="90"/>
      <c r="D11" s="91"/>
      <c r="E11" s="577" t="s">
        <v>11</v>
      </c>
      <c r="F11" s="577"/>
      <c r="G11" s="590" t="s">
        <v>12</v>
      </c>
      <c r="H11" s="590"/>
      <c r="I11" s="7"/>
    </row>
    <row r="12" spans="1:9" ht="22.5" customHeight="1">
      <c r="A12" s="90"/>
      <c r="B12" s="90"/>
      <c r="C12" s="90"/>
      <c r="D12" s="91"/>
      <c r="E12" s="585" t="s">
        <v>764</v>
      </c>
      <c r="F12" s="585"/>
      <c r="G12" s="585"/>
      <c r="H12" s="585"/>
      <c r="I12" s="4"/>
    </row>
    <row r="13" spans="1:9" ht="17.25" customHeight="1">
      <c r="A13" s="567" t="s">
        <v>17</v>
      </c>
      <c r="B13" s="567"/>
      <c r="C13" s="567"/>
      <c r="D13" s="567"/>
      <c r="E13" s="567"/>
      <c r="F13" s="567"/>
      <c r="G13" s="567"/>
      <c r="H13" s="567"/>
      <c r="I13" s="574"/>
    </row>
    <row r="14" spans="1:9" ht="15" customHeight="1">
      <c r="A14" s="567" t="s">
        <v>394</v>
      </c>
      <c r="B14" s="567"/>
      <c r="C14" s="567"/>
      <c r="D14" s="567"/>
      <c r="E14" s="567"/>
      <c r="F14" s="567"/>
      <c r="G14" s="567"/>
      <c r="H14" s="567"/>
      <c r="I14" s="574"/>
    </row>
    <row r="15" spans="1:9" ht="15" customHeight="1">
      <c r="A15" s="567" t="s">
        <v>433</v>
      </c>
      <c r="B15" s="567"/>
      <c r="C15" s="567"/>
      <c r="D15" s="567"/>
      <c r="E15" s="567"/>
      <c r="F15" s="567"/>
      <c r="G15" s="567"/>
      <c r="H15" s="567"/>
      <c r="I15" s="574"/>
    </row>
    <row r="16" spans="1:9" ht="12" customHeight="1">
      <c r="A16" s="567"/>
      <c r="B16" s="567"/>
      <c r="C16" s="567"/>
      <c r="D16" s="567"/>
      <c r="E16" s="567"/>
      <c r="F16" s="567"/>
      <c r="G16" s="567"/>
      <c r="H16" s="567"/>
      <c r="I16" s="574"/>
    </row>
    <row r="17" spans="1:9" ht="18.75" customHeight="1">
      <c r="A17" s="2"/>
      <c r="B17" s="2"/>
      <c r="C17" s="2"/>
      <c r="D17" s="182" t="s">
        <v>765</v>
      </c>
      <c r="E17" s="567"/>
      <c r="F17" s="578"/>
      <c r="G17" s="579" t="s">
        <v>18</v>
      </c>
      <c r="H17" s="579"/>
      <c r="I17" s="3"/>
    </row>
    <row r="18" spans="1:9" ht="27.75" customHeight="1">
      <c r="A18" s="2"/>
      <c r="B18" s="2"/>
      <c r="C18" s="2"/>
      <c r="D18" s="2"/>
      <c r="E18" s="568" t="s">
        <v>28</v>
      </c>
      <c r="F18" s="569"/>
      <c r="G18" s="581"/>
      <c r="H18" s="582"/>
      <c r="I18" s="15"/>
    </row>
    <row r="19" spans="1:9" ht="17.25" customHeight="1">
      <c r="A19" s="94"/>
      <c r="B19" s="2"/>
      <c r="C19" s="2"/>
      <c r="D19" s="2"/>
      <c r="E19" s="568" t="s">
        <v>431</v>
      </c>
      <c r="F19" s="569"/>
      <c r="G19" s="580" t="str">
        <f>D17</f>
        <v>  .   .2019</v>
      </c>
      <c r="H19" s="580"/>
      <c r="I19" s="4"/>
    </row>
    <row r="20" spans="1:9" ht="17.25" customHeight="1">
      <c r="A20" s="91"/>
      <c r="B20" s="90"/>
      <c r="C20" s="91"/>
      <c r="D20" s="1"/>
      <c r="E20" s="568" t="s">
        <v>19</v>
      </c>
      <c r="F20" s="569"/>
      <c r="G20" s="570" t="s">
        <v>490</v>
      </c>
      <c r="H20" s="571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575"/>
      <c r="H21" s="576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575"/>
      <c r="H22" s="576"/>
      <c r="I22" s="14"/>
    </row>
    <row r="23" spans="1:9" ht="17.25" customHeight="1">
      <c r="A23" s="91"/>
      <c r="B23" s="90"/>
      <c r="C23" s="91"/>
      <c r="D23" s="1"/>
      <c r="E23" s="568" t="s">
        <v>20</v>
      </c>
      <c r="F23" s="569"/>
      <c r="G23" s="592">
        <v>383</v>
      </c>
      <c r="H23" s="592"/>
      <c r="I23" s="14"/>
    </row>
    <row r="24" spans="1:9" ht="30.75" customHeight="1">
      <c r="A24" s="589" t="s">
        <v>488</v>
      </c>
      <c r="B24" s="589"/>
      <c r="C24" s="589"/>
      <c r="D24" s="589"/>
      <c r="E24" s="589"/>
      <c r="F24" s="589"/>
      <c r="G24" s="589"/>
      <c r="H24" s="589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593" t="s">
        <v>489</v>
      </c>
      <c r="C26" s="593"/>
      <c r="D26" s="593"/>
      <c r="E26" s="91"/>
      <c r="F26" s="91"/>
      <c r="G26" s="91"/>
      <c r="H26" s="91"/>
      <c r="I26" s="7"/>
    </row>
    <row r="27" spans="1:9" s="84" customFormat="1" ht="17.25" customHeight="1">
      <c r="A27" s="572" t="s">
        <v>430</v>
      </c>
      <c r="B27" s="572"/>
      <c r="C27" s="572"/>
      <c r="D27" s="572"/>
      <c r="E27" s="572"/>
      <c r="F27" s="572"/>
      <c r="G27" s="572"/>
      <c r="H27" s="572"/>
      <c r="I27" s="83"/>
    </row>
    <row r="28" spans="1:9" s="84" customFormat="1" ht="17.25" customHeight="1">
      <c r="A28" s="572" t="s">
        <v>515</v>
      </c>
      <c r="B28" s="572"/>
      <c r="C28" s="572"/>
      <c r="D28" s="572"/>
      <c r="E28" s="572"/>
      <c r="F28" s="572"/>
      <c r="G28" s="572"/>
      <c r="H28" s="572"/>
      <c r="I28" s="83"/>
    </row>
    <row r="29" spans="1:9" ht="15.75" customHeight="1">
      <c r="A29" s="585" t="s">
        <v>21</v>
      </c>
      <c r="B29" s="585"/>
      <c r="C29" s="91"/>
      <c r="D29" s="1"/>
      <c r="E29" s="587"/>
      <c r="F29" s="587"/>
      <c r="G29" s="589"/>
      <c r="H29" s="589"/>
      <c r="I29" s="14"/>
    </row>
    <row r="30" spans="1:9" ht="21" customHeight="1">
      <c r="A30" s="585" t="s">
        <v>22</v>
      </c>
      <c r="B30" s="585"/>
      <c r="C30" s="585"/>
      <c r="D30" s="585"/>
      <c r="E30" s="585"/>
      <c r="F30" s="585"/>
      <c r="G30" s="95"/>
      <c r="H30" s="95"/>
      <c r="I30" s="4"/>
    </row>
    <row r="31" spans="1:9" ht="15" customHeight="1">
      <c r="A31" s="591" t="s">
        <v>23</v>
      </c>
      <c r="B31" s="591"/>
      <c r="C31" s="591"/>
      <c r="D31" s="591"/>
      <c r="E31" s="591"/>
      <c r="F31" s="591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585" t="s">
        <v>132</v>
      </c>
      <c r="B33" s="585"/>
      <c r="C33" s="585"/>
      <c r="D33" s="596" t="s">
        <v>491</v>
      </c>
      <c r="E33" s="596"/>
      <c r="F33" s="596"/>
      <c r="G33" s="596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595" t="s">
        <v>24</v>
      </c>
      <c r="B35" s="595"/>
      <c r="C35" s="595"/>
      <c r="D35" s="595"/>
      <c r="E35" s="595"/>
      <c r="F35" s="595"/>
      <c r="G35" s="595"/>
      <c r="H35" s="595"/>
    </row>
    <row r="36" spans="1:8" ht="16.5" customHeight="1">
      <c r="A36" s="588" t="s">
        <v>25</v>
      </c>
      <c r="B36" s="588"/>
      <c r="C36" s="588"/>
      <c r="D36" s="588"/>
      <c r="E36" s="100"/>
      <c r="F36" s="100"/>
      <c r="G36" s="100"/>
      <c r="H36" s="100"/>
    </row>
    <row r="37" spans="1:8" ht="28.5" customHeight="1">
      <c r="A37" s="594" t="s">
        <v>492</v>
      </c>
      <c r="B37" s="594"/>
      <c r="C37" s="594"/>
      <c r="D37" s="594"/>
      <c r="E37" s="594"/>
      <c r="F37" s="594"/>
      <c r="G37" s="594"/>
      <c r="H37" s="594"/>
    </row>
    <row r="38" spans="1:8" ht="19.5" customHeight="1">
      <c r="A38" s="588" t="s">
        <v>26</v>
      </c>
      <c r="B38" s="588"/>
      <c r="C38" s="588"/>
      <c r="D38" s="588"/>
      <c r="E38" s="100"/>
      <c r="F38" s="100"/>
      <c r="G38" s="100"/>
      <c r="H38" s="100"/>
    </row>
    <row r="39" spans="1:7" s="101" customFormat="1" ht="18" customHeight="1">
      <c r="A39" s="599" t="s">
        <v>493</v>
      </c>
      <c r="B39" s="599"/>
      <c r="C39" s="599"/>
      <c r="D39" s="599"/>
      <c r="E39" s="599" t="s">
        <v>494</v>
      </c>
      <c r="F39" s="599"/>
      <c r="G39" s="599"/>
    </row>
    <row r="40" spans="1:7" s="101" customFormat="1" ht="18" customHeight="1">
      <c r="A40" s="599" t="s">
        <v>495</v>
      </c>
      <c r="B40" s="599"/>
      <c r="C40" s="599"/>
      <c r="D40" s="599"/>
      <c r="E40" s="599" t="s">
        <v>496</v>
      </c>
      <c r="F40" s="599"/>
      <c r="G40" s="599"/>
    </row>
    <row r="41" spans="1:7" s="101" customFormat="1" ht="18" customHeight="1">
      <c r="A41" s="599" t="s">
        <v>497</v>
      </c>
      <c r="B41" s="599"/>
      <c r="C41" s="599"/>
      <c r="D41" s="599"/>
      <c r="E41" s="599" t="s">
        <v>498</v>
      </c>
      <c r="F41" s="599"/>
      <c r="G41" s="599"/>
    </row>
    <row r="42" spans="1:7" s="101" customFormat="1" ht="18" customHeight="1">
      <c r="A42" s="599" t="s">
        <v>499</v>
      </c>
      <c r="B42" s="599"/>
      <c r="C42" s="599"/>
      <c r="D42" s="599"/>
      <c r="E42" s="599" t="s">
        <v>500</v>
      </c>
      <c r="F42" s="599"/>
      <c r="G42" s="599"/>
    </row>
    <row r="43" spans="1:7" s="101" customFormat="1" ht="18" customHeight="1">
      <c r="A43" s="599" t="s">
        <v>510</v>
      </c>
      <c r="B43" s="599"/>
      <c r="C43" s="599"/>
      <c r="D43" s="599"/>
      <c r="E43" s="599" t="s">
        <v>501</v>
      </c>
      <c r="F43" s="599"/>
      <c r="G43" s="599"/>
    </row>
    <row r="44" spans="1:7" s="101" customFormat="1" ht="18" customHeight="1">
      <c r="A44" s="599" t="s">
        <v>502</v>
      </c>
      <c r="B44" s="599"/>
      <c r="C44" s="599"/>
      <c r="D44" s="599"/>
      <c r="E44" s="599" t="s">
        <v>503</v>
      </c>
      <c r="F44" s="599"/>
      <c r="G44" s="599"/>
    </row>
    <row r="45" spans="1:7" s="101" customFormat="1" ht="32.25" customHeight="1">
      <c r="A45" s="599" t="s">
        <v>504</v>
      </c>
      <c r="B45" s="599"/>
      <c r="C45" s="599"/>
      <c r="D45" s="599"/>
      <c r="E45" s="599" t="s">
        <v>505</v>
      </c>
      <c r="F45" s="599"/>
      <c r="G45" s="599"/>
    </row>
    <row r="46" spans="1:7" s="101" customFormat="1" ht="18" customHeight="1">
      <c r="A46" s="599" t="s">
        <v>506</v>
      </c>
      <c r="B46" s="599"/>
      <c r="C46" s="599"/>
      <c r="D46" s="599"/>
      <c r="E46" s="599" t="s">
        <v>507</v>
      </c>
      <c r="F46" s="599"/>
      <c r="G46" s="599"/>
    </row>
    <row r="47" spans="1:7" s="101" customFormat="1" ht="18" customHeight="1">
      <c r="A47" s="599" t="s">
        <v>508</v>
      </c>
      <c r="B47" s="599"/>
      <c r="C47" s="599"/>
      <c r="D47" s="599"/>
      <c r="E47" s="599" t="s">
        <v>509</v>
      </c>
      <c r="F47" s="599"/>
      <c r="G47" s="599"/>
    </row>
    <row r="48" spans="1:8" s="18" customFormat="1" ht="30.75" customHeight="1">
      <c r="A48" s="566" t="s">
        <v>135</v>
      </c>
      <c r="B48" s="566"/>
      <c r="C48" s="566"/>
      <c r="D48" s="566"/>
      <c r="E48" s="566"/>
      <c r="F48" s="566"/>
      <c r="G48" s="566"/>
      <c r="H48" s="566"/>
    </row>
    <row r="49" spans="1:7" s="101" customFormat="1" ht="18" customHeight="1">
      <c r="A49" s="600" t="s">
        <v>511</v>
      </c>
      <c r="B49" s="600"/>
      <c r="C49" s="600"/>
      <c r="D49" s="600"/>
      <c r="E49" s="600"/>
      <c r="F49" s="600"/>
      <c r="G49" s="600"/>
    </row>
    <row r="50" spans="1:7" s="101" customFormat="1" ht="18" customHeight="1">
      <c r="A50" s="600" t="s">
        <v>512</v>
      </c>
      <c r="B50" s="600"/>
      <c r="C50" s="600"/>
      <c r="D50" s="600"/>
      <c r="E50" s="600"/>
      <c r="F50" s="600"/>
      <c r="G50" s="600"/>
    </row>
    <row r="51" spans="1:7" s="101" customFormat="1" ht="18" customHeight="1">
      <c r="A51" s="600" t="s">
        <v>513</v>
      </c>
      <c r="B51" s="600"/>
      <c r="C51" s="600"/>
      <c r="D51" s="600"/>
      <c r="E51" s="600"/>
      <c r="F51" s="600"/>
      <c r="G51" s="600"/>
    </row>
    <row r="52" spans="1:7" s="101" customFormat="1" ht="18" customHeight="1">
      <c r="A52" s="600" t="s">
        <v>514</v>
      </c>
      <c r="B52" s="600"/>
      <c r="C52" s="600"/>
      <c r="D52" s="600"/>
      <c r="E52" s="600"/>
      <c r="F52" s="600"/>
      <c r="G52" s="600"/>
    </row>
    <row r="53" spans="1:256" s="18" customFormat="1" ht="19.5" customHeight="1">
      <c r="A53" s="598" t="s">
        <v>537</v>
      </c>
      <c r="B53" s="598"/>
      <c r="C53" s="598"/>
      <c r="D53" s="598"/>
      <c r="E53" s="598"/>
      <c r="F53" s="598"/>
      <c r="G53" s="598"/>
      <c r="H53" s="598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5"/>
      <c r="AO53" s="565"/>
      <c r="AP53" s="565"/>
      <c r="AQ53" s="565"/>
      <c r="AR53" s="565"/>
      <c r="AS53" s="565"/>
      <c r="AT53" s="565"/>
      <c r="AU53" s="565"/>
      <c r="AV53" s="565"/>
      <c r="AW53" s="565"/>
      <c r="AX53" s="565"/>
      <c r="AY53" s="565"/>
      <c r="AZ53" s="565"/>
      <c r="BA53" s="565"/>
      <c r="BB53" s="565"/>
      <c r="BC53" s="565"/>
      <c r="BD53" s="565"/>
      <c r="BE53" s="565"/>
      <c r="BF53" s="565"/>
      <c r="BG53" s="565"/>
      <c r="BH53" s="565"/>
      <c r="BI53" s="565"/>
      <c r="BJ53" s="565"/>
      <c r="BK53" s="565"/>
      <c r="BL53" s="565"/>
      <c r="BM53" s="565"/>
      <c r="BN53" s="565"/>
      <c r="BO53" s="565"/>
      <c r="BP53" s="565"/>
      <c r="BQ53" s="565"/>
      <c r="BR53" s="565"/>
      <c r="BS53" s="565"/>
      <c r="BT53" s="565"/>
      <c r="BU53" s="565"/>
      <c r="BV53" s="565"/>
      <c r="BW53" s="565"/>
      <c r="BX53" s="565"/>
      <c r="BY53" s="565"/>
      <c r="BZ53" s="565"/>
      <c r="CA53" s="565"/>
      <c r="CB53" s="565"/>
      <c r="CC53" s="565"/>
      <c r="CD53" s="565"/>
      <c r="CE53" s="565"/>
      <c r="CF53" s="565"/>
      <c r="CG53" s="565"/>
      <c r="CH53" s="565"/>
      <c r="CI53" s="565"/>
      <c r="CJ53" s="565"/>
      <c r="CK53" s="565"/>
      <c r="CL53" s="565"/>
      <c r="CM53" s="565"/>
      <c r="CN53" s="565"/>
      <c r="CO53" s="565"/>
      <c r="CP53" s="565"/>
      <c r="CQ53" s="565"/>
      <c r="CR53" s="565"/>
      <c r="CS53" s="565"/>
      <c r="CT53" s="565"/>
      <c r="CU53" s="565"/>
      <c r="CV53" s="565"/>
      <c r="CW53" s="565"/>
      <c r="CX53" s="565"/>
      <c r="CY53" s="565"/>
      <c r="CZ53" s="565"/>
      <c r="DA53" s="565"/>
      <c r="DB53" s="565"/>
      <c r="DC53" s="565"/>
      <c r="DD53" s="565"/>
      <c r="DE53" s="565"/>
      <c r="DF53" s="565"/>
      <c r="DG53" s="565"/>
      <c r="DH53" s="565"/>
      <c r="DI53" s="565"/>
      <c r="DJ53" s="565"/>
      <c r="DK53" s="565"/>
      <c r="DL53" s="565"/>
      <c r="DM53" s="565"/>
      <c r="DN53" s="565"/>
      <c r="DO53" s="565"/>
      <c r="DP53" s="565"/>
      <c r="DQ53" s="565"/>
      <c r="DR53" s="565"/>
      <c r="DS53" s="565"/>
      <c r="DT53" s="565"/>
      <c r="DU53" s="565"/>
      <c r="DV53" s="565"/>
      <c r="DW53" s="565"/>
      <c r="DX53" s="565"/>
      <c r="DY53" s="565"/>
      <c r="DZ53" s="565"/>
      <c r="EA53" s="565"/>
      <c r="EB53" s="565"/>
      <c r="EC53" s="565"/>
      <c r="ED53" s="565"/>
      <c r="EE53" s="565"/>
      <c r="EF53" s="565"/>
      <c r="EG53" s="565"/>
      <c r="EH53" s="565"/>
      <c r="EI53" s="565"/>
      <c r="EJ53" s="565"/>
      <c r="EK53" s="565"/>
      <c r="EL53" s="565"/>
      <c r="EM53" s="565"/>
      <c r="EN53" s="565"/>
      <c r="EO53" s="565"/>
      <c r="EP53" s="565"/>
      <c r="EQ53" s="565"/>
      <c r="ER53" s="565"/>
      <c r="ES53" s="565"/>
      <c r="ET53" s="565"/>
      <c r="EU53" s="565"/>
      <c r="EV53" s="565"/>
      <c r="EW53" s="565"/>
      <c r="EX53" s="565"/>
      <c r="EY53" s="565"/>
      <c r="EZ53" s="565"/>
      <c r="FA53" s="565"/>
      <c r="FB53" s="565"/>
      <c r="FC53" s="565"/>
      <c r="FD53" s="565"/>
      <c r="FE53" s="565"/>
      <c r="FF53" s="565"/>
      <c r="FG53" s="565"/>
      <c r="FH53" s="565"/>
      <c r="FI53" s="565"/>
      <c r="FJ53" s="565"/>
      <c r="FK53" s="565"/>
      <c r="FL53" s="565"/>
      <c r="FM53" s="565"/>
      <c r="FN53" s="565"/>
      <c r="FO53" s="565"/>
      <c r="FP53" s="565"/>
      <c r="FQ53" s="565"/>
      <c r="FR53" s="565"/>
      <c r="FS53" s="565"/>
      <c r="FT53" s="565"/>
      <c r="FU53" s="565"/>
      <c r="FV53" s="565"/>
      <c r="FW53" s="565"/>
      <c r="FX53" s="565"/>
      <c r="FY53" s="565"/>
      <c r="FZ53" s="565"/>
      <c r="GA53" s="565"/>
      <c r="GB53" s="565"/>
      <c r="GC53" s="565"/>
      <c r="GD53" s="565"/>
      <c r="GE53" s="565"/>
      <c r="GF53" s="565"/>
      <c r="GG53" s="565"/>
      <c r="GH53" s="565"/>
      <c r="GI53" s="565"/>
      <c r="GJ53" s="565"/>
      <c r="GK53" s="565"/>
      <c r="GL53" s="565"/>
      <c r="GM53" s="565"/>
      <c r="GN53" s="565"/>
      <c r="GO53" s="565"/>
      <c r="GP53" s="565"/>
      <c r="GQ53" s="565"/>
      <c r="GR53" s="565"/>
      <c r="GS53" s="565"/>
      <c r="GT53" s="565"/>
      <c r="GU53" s="565"/>
      <c r="GV53" s="565"/>
      <c r="GW53" s="565"/>
      <c r="GX53" s="565"/>
      <c r="GY53" s="565"/>
      <c r="GZ53" s="565"/>
      <c r="HA53" s="565"/>
      <c r="HB53" s="565"/>
      <c r="HC53" s="565"/>
      <c r="HD53" s="565"/>
      <c r="HE53" s="565"/>
      <c r="HF53" s="565"/>
      <c r="HG53" s="565"/>
      <c r="HH53" s="565"/>
      <c r="HI53" s="565"/>
      <c r="HJ53" s="565"/>
      <c r="HK53" s="565"/>
      <c r="HL53" s="565"/>
      <c r="HM53" s="565"/>
      <c r="HN53" s="565"/>
      <c r="HO53" s="565"/>
      <c r="HP53" s="565"/>
      <c r="HQ53" s="565"/>
      <c r="HR53" s="565"/>
      <c r="HS53" s="565"/>
      <c r="HT53" s="565"/>
      <c r="HU53" s="565"/>
      <c r="HV53" s="565"/>
      <c r="HW53" s="565"/>
      <c r="HX53" s="565"/>
      <c r="HY53" s="565"/>
      <c r="HZ53" s="565"/>
      <c r="IA53" s="565"/>
      <c r="IB53" s="565"/>
      <c r="IC53" s="565"/>
      <c r="ID53" s="565"/>
      <c r="IE53" s="565"/>
      <c r="IF53" s="565"/>
      <c r="IG53" s="565"/>
      <c r="IH53" s="565"/>
      <c r="II53" s="565"/>
      <c r="IJ53" s="565"/>
      <c r="IK53" s="565"/>
      <c r="IL53" s="565"/>
      <c r="IM53" s="565"/>
      <c r="IN53" s="565"/>
      <c r="IO53" s="565"/>
      <c r="IP53" s="565"/>
      <c r="IQ53" s="565"/>
      <c r="IR53" s="565"/>
      <c r="IS53" s="565"/>
      <c r="IT53" s="565"/>
      <c r="IU53" s="565"/>
      <c r="IV53" s="565"/>
    </row>
    <row r="54" spans="1:256" s="18" customFormat="1" ht="15.75" customHeight="1">
      <c r="A54" s="598" t="s">
        <v>536</v>
      </c>
      <c r="B54" s="598"/>
      <c r="C54" s="598"/>
      <c r="D54" s="598"/>
      <c r="E54" s="598"/>
      <c r="F54" s="598"/>
      <c r="G54" s="598"/>
      <c r="H54" s="598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65"/>
      <c r="CV54" s="565"/>
      <c r="CW54" s="565"/>
      <c r="CX54" s="565"/>
      <c r="CY54" s="565"/>
      <c r="CZ54" s="565"/>
      <c r="DA54" s="565"/>
      <c r="DB54" s="565"/>
      <c r="DC54" s="565"/>
      <c r="DD54" s="565"/>
      <c r="DE54" s="565"/>
      <c r="DF54" s="565"/>
      <c r="DG54" s="565"/>
      <c r="DH54" s="565"/>
      <c r="DI54" s="565"/>
      <c r="DJ54" s="565"/>
      <c r="DK54" s="565"/>
      <c r="DL54" s="565"/>
      <c r="DM54" s="565"/>
      <c r="DN54" s="565"/>
      <c r="DO54" s="565"/>
      <c r="DP54" s="565"/>
      <c r="DQ54" s="565"/>
      <c r="DR54" s="565"/>
      <c r="DS54" s="565"/>
      <c r="DT54" s="565"/>
      <c r="DU54" s="565"/>
      <c r="DV54" s="565"/>
      <c r="DW54" s="565"/>
      <c r="DX54" s="565"/>
      <c r="DY54" s="565"/>
      <c r="DZ54" s="565"/>
      <c r="EA54" s="565"/>
      <c r="EB54" s="565"/>
      <c r="EC54" s="565"/>
      <c r="ED54" s="565"/>
      <c r="EE54" s="565"/>
      <c r="EF54" s="565"/>
      <c r="EG54" s="565"/>
      <c r="EH54" s="565"/>
      <c r="EI54" s="565"/>
      <c r="EJ54" s="565"/>
      <c r="EK54" s="565"/>
      <c r="EL54" s="565"/>
      <c r="EM54" s="565"/>
      <c r="EN54" s="565"/>
      <c r="EO54" s="565"/>
      <c r="EP54" s="565"/>
      <c r="EQ54" s="565"/>
      <c r="ER54" s="565"/>
      <c r="ES54" s="565"/>
      <c r="ET54" s="565"/>
      <c r="EU54" s="565"/>
      <c r="EV54" s="565"/>
      <c r="EW54" s="565"/>
      <c r="EX54" s="565"/>
      <c r="EY54" s="565"/>
      <c r="EZ54" s="565"/>
      <c r="FA54" s="565"/>
      <c r="FB54" s="565"/>
      <c r="FC54" s="565"/>
      <c r="FD54" s="565"/>
      <c r="FE54" s="565"/>
      <c r="FF54" s="565"/>
      <c r="FG54" s="565"/>
      <c r="FH54" s="565"/>
      <c r="FI54" s="565"/>
      <c r="FJ54" s="565"/>
      <c r="FK54" s="565"/>
      <c r="FL54" s="565"/>
      <c r="FM54" s="565"/>
      <c r="FN54" s="565"/>
      <c r="FO54" s="565"/>
      <c r="FP54" s="565"/>
      <c r="FQ54" s="565"/>
      <c r="FR54" s="565"/>
      <c r="FS54" s="565"/>
      <c r="FT54" s="565"/>
      <c r="FU54" s="565"/>
      <c r="FV54" s="565"/>
      <c r="FW54" s="565"/>
      <c r="FX54" s="565"/>
      <c r="FY54" s="565"/>
      <c r="FZ54" s="565"/>
      <c r="GA54" s="565"/>
      <c r="GB54" s="565"/>
      <c r="GC54" s="565"/>
      <c r="GD54" s="565"/>
      <c r="GE54" s="565"/>
      <c r="GF54" s="565"/>
      <c r="GG54" s="565"/>
      <c r="GH54" s="565"/>
      <c r="GI54" s="565"/>
      <c r="GJ54" s="565"/>
      <c r="GK54" s="565"/>
      <c r="GL54" s="565"/>
      <c r="GM54" s="565"/>
      <c r="GN54" s="565"/>
      <c r="GO54" s="565"/>
      <c r="GP54" s="565"/>
      <c r="GQ54" s="565"/>
      <c r="GR54" s="565"/>
      <c r="GS54" s="565"/>
      <c r="GT54" s="565"/>
      <c r="GU54" s="565"/>
      <c r="GV54" s="565"/>
      <c r="GW54" s="565"/>
      <c r="GX54" s="565"/>
      <c r="GY54" s="565"/>
      <c r="GZ54" s="565"/>
      <c r="HA54" s="565"/>
      <c r="HB54" s="565"/>
      <c r="HC54" s="565"/>
      <c r="HD54" s="565"/>
      <c r="HE54" s="565"/>
      <c r="HF54" s="565"/>
      <c r="HG54" s="565"/>
      <c r="HH54" s="565"/>
      <c r="HI54" s="565"/>
      <c r="HJ54" s="565"/>
      <c r="HK54" s="565"/>
      <c r="HL54" s="565"/>
      <c r="HM54" s="565"/>
      <c r="HN54" s="565"/>
      <c r="HO54" s="565"/>
      <c r="HP54" s="565"/>
      <c r="HQ54" s="565"/>
      <c r="HR54" s="565"/>
      <c r="HS54" s="565"/>
      <c r="HT54" s="565"/>
      <c r="HU54" s="565"/>
      <c r="HV54" s="565"/>
      <c r="HW54" s="565"/>
      <c r="HX54" s="565"/>
      <c r="HY54" s="565"/>
      <c r="HZ54" s="565"/>
      <c r="IA54" s="565"/>
      <c r="IB54" s="565"/>
      <c r="IC54" s="565"/>
      <c r="ID54" s="565"/>
      <c r="IE54" s="565"/>
      <c r="IF54" s="565"/>
      <c r="IG54" s="565"/>
      <c r="IH54" s="565"/>
      <c r="II54" s="565"/>
      <c r="IJ54" s="565"/>
      <c r="IK54" s="565"/>
      <c r="IL54" s="565"/>
      <c r="IM54" s="565"/>
      <c r="IN54" s="565"/>
      <c r="IO54" s="565"/>
      <c r="IP54" s="565"/>
      <c r="IQ54" s="565"/>
      <c r="IR54" s="565"/>
      <c r="IS54" s="565"/>
      <c r="IT54" s="565"/>
      <c r="IU54" s="565"/>
      <c r="IV54" s="565"/>
    </row>
    <row r="55" spans="1:8" ht="11.25" customHeight="1">
      <c r="A55" s="565"/>
      <c r="B55" s="565"/>
      <c r="C55" s="565"/>
      <c r="D55" s="565"/>
      <c r="E55" s="565"/>
      <c r="F55" s="565"/>
      <c r="G55" s="565"/>
      <c r="H55" s="565"/>
    </row>
    <row r="56" spans="1:8" ht="11.25" customHeight="1">
      <c r="A56" s="565"/>
      <c r="B56" s="565"/>
      <c r="C56" s="565"/>
      <c r="D56" s="565"/>
      <c r="E56" s="565"/>
      <c r="F56" s="565"/>
      <c r="G56" s="565"/>
      <c r="H56" s="565"/>
    </row>
    <row r="57" spans="1:8" ht="11.25" customHeight="1">
      <c r="A57" s="565"/>
      <c r="B57" s="565"/>
      <c r="C57" s="565"/>
      <c r="D57" s="565"/>
      <c r="E57" s="565"/>
      <c r="F57" s="565"/>
      <c r="G57" s="565"/>
      <c r="H57" s="565"/>
    </row>
    <row r="58" spans="1:8" ht="11.25" customHeight="1">
      <c r="A58" s="597"/>
      <c r="B58" s="597"/>
      <c r="C58" s="597"/>
      <c r="D58" s="597"/>
      <c r="E58" s="597"/>
      <c r="F58" s="597"/>
      <c r="G58" s="597"/>
      <c r="H58" s="597"/>
    </row>
  </sheetData>
  <sheetProtection/>
  <mergeCells count="139">
    <mergeCell ref="A51:G51"/>
    <mergeCell ref="A52:G52"/>
    <mergeCell ref="A45:D45"/>
    <mergeCell ref="E45:G45"/>
    <mergeCell ref="A46:D46"/>
    <mergeCell ref="E46:G46"/>
    <mergeCell ref="A47:D47"/>
    <mergeCell ref="E47:G47"/>
    <mergeCell ref="A43:D43"/>
    <mergeCell ref="E43:G43"/>
    <mergeCell ref="A44:D44"/>
    <mergeCell ref="E44:G44"/>
    <mergeCell ref="A49:G49"/>
    <mergeCell ref="A50:G50"/>
    <mergeCell ref="E39:G39"/>
    <mergeCell ref="A40:D40"/>
    <mergeCell ref="E40:G40"/>
    <mergeCell ref="A41:D41"/>
    <mergeCell ref="E41:G41"/>
    <mergeCell ref="A42:D42"/>
    <mergeCell ref="E42:G42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69"/>
  <sheetViews>
    <sheetView view="pageBreakPreview" zoomScale="60" zoomScalePageLayoutView="0" workbookViewId="0" topLeftCell="A1">
      <selection activeCell="G345" sqref="G345"/>
    </sheetView>
  </sheetViews>
  <sheetFormatPr defaultColWidth="9.140625" defaultRowHeight="15"/>
  <cols>
    <col min="1" max="1" width="9.140625" style="186" customWidth="1"/>
    <col min="2" max="2" width="18.00390625" style="187" customWidth="1"/>
    <col min="3" max="3" width="20.57421875" style="186" customWidth="1"/>
    <col min="4" max="4" width="21.28125" style="186" customWidth="1"/>
    <col min="5" max="5" width="17.28125" style="186" customWidth="1"/>
    <col min="6" max="6" width="20.8515625" style="186" customWidth="1"/>
    <col min="7" max="7" width="16.8515625" style="186" customWidth="1"/>
    <col min="8" max="8" width="16.28125" style="186" customWidth="1"/>
    <col min="9" max="9" width="19.57421875" style="186" customWidth="1"/>
    <col min="10" max="10" width="23.00390625" style="186" customWidth="1"/>
    <col min="11" max="11" width="24.421875" style="186" customWidth="1"/>
    <col min="12" max="12" width="18.00390625" style="186" bestFit="1" customWidth="1"/>
    <col min="13" max="13" width="15.421875" style="186" customWidth="1"/>
    <col min="14" max="16384" width="9.140625" style="186" customWidth="1"/>
  </cols>
  <sheetData>
    <row r="1" spans="5:6" ht="15.75" customHeight="1">
      <c r="E1" s="655"/>
      <c r="F1" s="655"/>
    </row>
    <row r="2" spans="1:26" s="190" customFormat="1" ht="40.5" customHeight="1">
      <c r="A2" s="656" t="s">
        <v>539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s="190" customFormat="1" ht="15.75" customHeight="1">
      <c r="B3" s="657" t="s">
        <v>852</v>
      </c>
      <c r="C3" s="657"/>
      <c r="D3" s="657"/>
      <c r="E3" s="657"/>
      <c r="F3" s="657"/>
      <c r="G3" s="657"/>
      <c r="H3" s="657"/>
      <c r="I3" s="657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162" ht="20.25" customHeight="1">
      <c r="A4" s="658" t="s">
        <v>540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2:31" ht="15.75" customHeight="1">
      <c r="B5" s="18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customHeight="1">
      <c r="B6" s="193" t="s">
        <v>541</v>
      </c>
      <c r="C6" s="193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31" ht="15.75" customHeight="1">
      <c r="B7" s="18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2:31" ht="15.75" customHeight="1">
      <c r="B8" s="193" t="s">
        <v>542</v>
      </c>
      <c r="C8" s="193"/>
      <c r="D8" s="193" t="s">
        <v>702</v>
      </c>
      <c r="E8" s="193"/>
      <c r="F8" s="192"/>
      <c r="G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2:31" ht="15.75" customHeight="1">
      <c r="B9" s="18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5.75" customHeight="1">
      <c r="B10" s="194" t="s">
        <v>544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2:31" ht="15.75" customHeight="1">
      <c r="B11" s="186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83" ht="48" customHeight="1">
      <c r="A12" s="659" t="s">
        <v>545</v>
      </c>
      <c r="B12" s="660" t="s">
        <v>546</v>
      </c>
      <c r="C12" s="660" t="s">
        <v>547</v>
      </c>
      <c r="D12" s="663" t="s">
        <v>548</v>
      </c>
      <c r="E12" s="664"/>
      <c r="F12" s="664"/>
      <c r="G12" s="665"/>
      <c r="H12" s="666" t="s">
        <v>549</v>
      </c>
      <c r="I12" s="666" t="s">
        <v>550</v>
      </c>
      <c r="J12" s="666" t="s">
        <v>551</v>
      </c>
      <c r="K12" s="669" t="s">
        <v>552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2"/>
      <c r="BY12" s="192"/>
      <c r="BZ12" s="192"/>
      <c r="CA12" s="192"/>
      <c r="CB12" s="192"/>
      <c r="CC12" s="192"/>
      <c r="CD12" s="192"/>
      <c r="CE12" s="192"/>
    </row>
    <row r="13" spans="1:73" ht="15.75" customHeight="1">
      <c r="A13" s="659"/>
      <c r="B13" s="661"/>
      <c r="C13" s="661"/>
      <c r="D13" s="196" t="s">
        <v>36</v>
      </c>
      <c r="E13" s="670" t="s">
        <v>4</v>
      </c>
      <c r="F13" s="671"/>
      <c r="G13" s="671"/>
      <c r="H13" s="667"/>
      <c r="I13" s="667"/>
      <c r="J13" s="667"/>
      <c r="K13" s="669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31" ht="46.5" customHeight="1">
      <c r="A14" s="659"/>
      <c r="B14" s="662"/>
      <c r="C14" s="662"/>
      <c r="D14" s="198"/>
      <c r="E14" s="199" t="s">
        <v>553</v>
      </c>
      <c r="F14" s="199" t="s">
        <v>554</v>
      </c>
      <c r="G14" s="197" t="s">
        <v>555</v>
      </c>
      <c r="H14" s="668"/>
      <c r="I14" s="668"/>
      <c r="J14" s="668"/>
      <c r="K14" s="669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2"/>
      <c r="AB14" s="192"/>
      <c r="AC14" s="192"/>
      <c r="AD14" s="192"/>
      <c r="AE14" s="192"/>
    </row>
    <row r="15" spans="1:31" ht="15.75" customHeight="1">
      <c r="A15" s="200">
        <v>1</v>
      </c>
      <c r="B15" s="201">
        <v>2</v>
      </c>
      <c r="C15" s="201">
        <v>3</v>
      </c>
      <c r="D15" s="202">
        <v>4</v>
      </c>
      <c r="E15" s="203">
        <v>5</v>
      </c>
      <c r="F15" s="204">
        <v>6</v>
      </c>
      <c r="G15" s="201">
        <v>7</v>
      </c>
      <c r="H15" s="201">
        <v>8</v>
      </c>
      <c r="I15" s="201">
        <v>9</v>
      </c>
      <c r="J15" s="204">
        <v>10</v>
      </c>
      <c r="K15" s="204">
        <v>11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2"/>
      <c r="AB15" s="192"/>
      <c r="AC15" s="192"/>
      <c r="AD15" s="192"/>
      <c r="AE15" s="192"/>
    </row>
    <row r="16" spans="1:31" ht="15.75" customHeight="1">
      <c r="A16" s="206"/>
      <c r="B16" s="207" t="s">
        <v>556</v>
      </c>
      <c r="C16" s="330">
        <v>2</v>
      </c>
      <c r="D16" s="330">
        <f>SUM(E16:G16)</f>
        <v>3120</v>
      </c>
      <c r="E16" s="239">
        <v>0</v>
      </c>
      <c r="F16" s="239">
        <v>0</v>
      </c>
      <c r="G16" s="330">
        <v>3120</v>
      </c>
      <c r="H16" s="330">
        <v>0</v>
      </c>
      <c r="I16" s="330">
        <v>1.15</v>
      </c>
      <c r="J16" s="331">
        <f>(C16*D16*(1+H16/100)*I16*12)</f>
        <v>86111.99999999999</v>
      </c>
      <c r="K16" s="211" t="s">
        <v>557</v>
      </c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192"/>
      <c r="AB16" s="192"/>
      <c r="AC16" s="192"/>
      <c r="AD16" s="192"/>
      <c r="AE16" s="192"/>
    </row>
    <row r="17" spans="1:31" ht="15.75" customHeight="1">
      <c r="A17" s="206"/>
      <c r="B17" s="207" t="s">
        <v>558</v>
      </c>
      <c r="C17" s="330">
        <v>3</v>
      </c>
      <c r="D17" s="330">
        <f>SUM(E17:G17)</f>
        <v>2500</v>
      </c>
      <c r="E17" s="239">
        <v>0</v>
      </c>
      <c r="F17" s="239">
        <v>0</v>
      </c>
      <c r="G17" s="330">
        <f>2500</f>
        <v>2500</v>
      </c>
      <c r="H17" s="330">
        <v>0</v>
      </c>
      <c r="I17" s="330">
        <v>1.15</v>
      </c>
      <c r="J17" s="331">
        <f>(C17*D17*(1+H17/100)*I17*12)</f>
        <v>103500</v>
      </c>
      <c r="K17" s="211" t="s">
        <v>557</v>
      </c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92"/>
      <c r="AB17" s="192"/>
      <c r="AC17" s="192"/>
      <c r="AD17" s="192"/>
      <c r="AE17" s="192"/>
    </row>
    <row r="18" spans="1:31" ht="15.75" customHeight="1">
      <c r="A18" s="206"/>
      <c r="B18" s="207" t="s">
        <v>559</v>
      </c>
      <c r="C18" s="330">
        <v>44</v>
      </c>
      <c r="D18" s="330">
        <f>SUM(E18:G18)</f>
        <v>4285.22</v>
      </c>
      <c r="E18" s="239">
        <v>0</v>
      </c>
      <c r="F18" s="239">
        <v>0</v>
      </c>
      <c r="G18" s="330">
        <f>3689.69-18.69+614.22</f>
        <v>4285.22</v>
      </c>
      <c r="H18" s="330">
        <v>0</v>
      </c>
      <c r="I18" s="330">
        <v>1.15</v>
      </c>
      <c r="J18" s="331">
        <f>(C18*D18*(1+H18/100)*I18*12)</f>
        <v>2601985.5840000003</v>
      </c>
      <c r="K18" s="211" t="s">
        <v>557</v>
      </c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192"/>
      <c r="AB18" s="192"/>
      <c r="AC18" s="192"/>
      <c r="AD18" s="192"/>
      <c r="AE18" s="192"/>
    </row>
    <row r="19" spans="1:31" s="194" customFormat="1" ht="15.75" customHeight="1">
      <c r="A19" s="219"/>
      <c r="B19" s="388"/>
      <c r="C19" s="349">
        <f>SUM(C16:C18)</f>
        <v>49</v>
      </c>
      <c r="D19" s="349"/>
      <c r="E19" s="350"/>
      <c r="F19" s="350"/>
      <c r="G19" s="349"/>
      <c r="H19" s="349"/>
      <c r="I19" s="349"/>
      <c r="J19" s="290">
        <f>SUM(J16:J18)</f>
        <v>2791597.5840000003</v>
      </c>
      <c r="K19" s="389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223"/>
      <c r="AB19" s="223"/>
      <c r="AC19" s="223"/>
      <c r="AD19" s="223"/>
      <c r="AE19" s="223"/>
    </row>
    <row r="20" spans="1:31" s="194" customFormat="1" ht="15.75" customHeight="1">
      <c r="A20" s="219"/>
      <c r="B20" s="207" t="s">
        <v>556</v>
      </c>
      <c r="C20" s="330">
        <v>2</v>
      </c>
      <c r="D20" s="330">
        <f>SUM(E20:H20)</f>
        <v>1560</v>
      </c>
      <c r="E20" s="330">
        <v>1560</v>
      </c>
      <c r="F20" s="203">
        <v>0</v>
      </c>
      <c r="G20" s="215">
        <v>0</v>
      </c>
      <c r="H20" s="215">
        <v>0</v>
      </c>
      <c r="I20" s="215">
        <v>1.15</v>
      </c>
      <c r="J20" s="331">
        <f>(C20*D20*(1+H20/100)*I20*12)</f>
        <v>43055.99999999999</v>
      </c>
      <c r="K20" s="389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223"/>
      <c r="AB20" s="223"/>
      <c r="AC20" s="223"/>
      <c r="AD20" s="223"/>
      <c r="AE20" s="223"/>
    </row>
    <row r="21" spans="1:31" s="194" customFormat="1" ht="15.75" customHeight="1">
      <c r="A21" s="219"/>
      <c r="B21" s="207" t="s">
        <v>558</v>
      </c>
      <c r="C21" s="330">
        <v>4</v>
      </c>
      <c r="D21" s="330">
        <f>SUM(E21:H21)</f>
        <v>2600</v>
      </c>
      <c r="E21" s="330">
        <v>2600</v>
      </c>
      <c r="F21" s="203">
        <v>0</v>
      </c>
      <c r="G21" s="215">
        <v>0</v>
      </c>
      <c r="H21" s="215">
        <v>0</v>
      </c>
      <c r="I21" s="215">
        <v>1.15</v>
      </c>
      <c r="J21" s="331">
        <f>(C21*D21*(1+H21/100)*I21*12)</f>
        <v>143519.99999999997</v>
      </c>
      <c r="K21" s="389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223"/>
      <c r="AB21" s="223"/>
      <c r="AC21" s="223"/>
      <c r="AD21" s="223"/>
      <c r="AE21" s="223"/>
    </row>
    <row r="22" spans="1:31" s="194" customFormat="1" ht="15.75" customHeight="1">
      <c r="A22" s="219"/>
      <c r="B22" s="207" t="s">
        <v>559</v>
      </c>
      <c r="C22" s="330">
        <v>5</v>
      </c>
      <c r="D22" s="330">
        <f>SUM(E22:H22)</f>
        <v>5074.76</v>
      </c>
      <c r="E22" s="330">
        <v>5074.76</v>
      </c>
      <c r="F22" s="203">
        <v>0</v>
      </c>
      <c r="G22" s="215">
        <v>0</v>
      </c>
      <c r="H22" s="215">
        <v>0</v>
      </c>
      <c r="I22" s="215">
        <v>1.15</v>
      </c>
      <c r="J22" s="331">
        <f>(C22*D22*(1+H22/100)*I22*12)</f>
        <v>350158.44000000006</v>
      </c>
      <c r="K22" s="389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223"/>
      <c r="AB22" s="223"/>
      <c r="AC22" s="223"/>
      <c r="AD22" s="223"/>
      <c r="AE22" s="223"/>
    </row>
    <row r="23" spans="1:31" s="194" customFormat="1" ht="15.75" customHeight="1">
      <c r="A23" s="219"/>
      <c r="B23" s="207" t="s">
        <v>560</v>
      </c>
      <c r="C23" s="535"/>
      <c r="D23" s="202"/>
      <c r="E23" s="203"/>
      <c r="F23" s="203"/>
      <c r="G23" s="215"/>
      <c r="H23" s="215"/>
      <c r="I23" s="215"/>
      <c r="J23" s="331">
        <f>(C23*D23*(1+H23/100)*I23*12)</f>
        <v>0</v>
      </c>
      <c r="K23" s="389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223"/>
      <c r="AB23" s="223"/>
      <c r="AC23" s="223"/>
      <c r="AD23" s="223"/>
      <c r="AE23" s="223"/>
    </row>
    <row r="24" spans="1:31" s="194" customFormat="1" ht="15.75" customHeight="1">
      <c r="A24" s="219"/>
      <c r="B24" s="207" t="s">
        <v>561</v>
      </c>
      <c r="C24" s="202" t="s">
        <v>562</v>
      </c>
      <c r="D24" s="202"/>
      <c r="E24" s="203" t="s">
        <v>562</v>
      </c>
      <c r="F24" s="203" t="s">
        <v>562</v>
      </c>
      <c r="G24" s="215" t="s">
        <v>562</v>
      </c>
      <c r="H24" s="215" t="s">
        <v>562</v>
      </c>
      <c r="I24" s="215" t="s">
        <v>562</v>
      </c>
      <c r="J24" s="290">
        <f>SUM(J20:J23)</f>
        <v>536734.4400000001</v>
      </c>
      <c r="K24" s="389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223"/>
      <c r="AB24" s="223"/>
      <c r="AC24" s="223"/>
      <c r="AD24" s="223"/>
      <c r="AE24" s="223"/>
    </row>
    <row r="25" spans="1:31" ht="15.75" customHeight="1">
      <c r="A25" s="206"/>
      <c r="B25" s="207" t="s">
        <v>559</v>
      </c>
      <c r="C25" s="330">
        <v>2</v>
      </c>
      <c r="D25" s="330">
        <f>SUM(E25:G25)</f>
        <v>100000</v>
      </c>
      <c r="E25" s="239">
        <v>0</v>
      </c>
      <c r="F25" s="239">
        <v>100000</v>
      </c>
      <c r="G25" s="330">
        <v>0</v>
      </c>
      <c r="H25" s="330">
        <v>0</v>
      </c>
      <c r="I25" s="330">
        <v>1.15</v>
      </c>
      <c r="J25" s="331">
        <f>D25</f>
        <v>100000</v>
      </c>
      <c r="K25" s="211" t="s">
        <v>557</v>
      </c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192"/>
      <c r="AB25" s="192"/>
      <c r="AC25" s="192"/>
      <c r="AD25" s="192"/>
      <c r="AE25" s="192"/>
    </row>
    <row r="26" spans="1:31" ht="15.75" customHeight="1">
      <c r="A26" s="206"/>
      <c r="B26" s="207" t="s">
        <v>559</v>
      </c>
      <c r="C26" s="330">
        <v>1</v>
      </c>
      <c r="D26" s="330">
        <f>SUM(E26:G26)</f>
        <v>90000</v>
      </c>
      <c r="E26" s="239">
        <v>0</v>
      </c>
      <c r="F26" s="239">
        <v>90000</v>
      </c>
      <c r="G26" s="330">
        <v>0</v>
      </c>
      <c r="H26" s="330">
        <v>0</v>
      </c>
      <c r="I26" s="330" t="s">
        <v>562</v>
      </c>
      <c r="J26" s="331">
        <f>D26</f>
        <v>90000</v>
      </c>
      <c r="K26" s="211" t="s">
        <v>557</v>
      </c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192"/>
      <c r="AB26" s="192"/>
      <c r="AC26" s="192"/>
      <c r="AD26" s="192"/>
      <c r="AE26" s="192"/>
    </row>
    <row r="27" spans="1:31" ht="15.75" customHeight="1">
      <c r="A27" s="206"/>
      <c r="B27" s="207" t="s">
        <v>748</v>
      </c>
      <c r="C27" s="330"/>
      <c r="D27" s="330"/>
      <c r="E27" s="239"/>
      <c r="F27" s="239"/>
      <c r="G27" s="330"/>
      <c r="H27" s="330"/>
      <c r="I27" s="330"/>
      <c r="J27" s="331">
        <v>14775.84</v>
      </c>
      <c r="K27" s="21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192"/>
      <c r="AB27" s="192"/>
      <c r="AC27" s="192"/>
      <c r="AD27" s="192"/>
      <c r="AE27" s="192"/>
    </row>
    <row r="28" spans="1:31" ht="15.75" customHeight="1">
      <c r="A28" s="206"/>
      <c r="B28" s="213" t="s">
        <v>561</v>
      </c>
      <c r="C28" s="332" t="s">
        <v>562</v>
      </c>
      <c r="D28" s="332"/>
      <c r="E28" s="304" t="s">
        <v>562</v>
      </c>
      <c r="F28" s="304" t="s">
        <v>562</v>
      </c>
      <c r="G28" s="332" t="s">
        <v>562</v>
      </c>
      <c r="H28" s="332" t="s">
        <v>562</v>
      </c>
      <c r="I28" s="332" t="s">
        <v>562</v>
      </c>
      <c r="J28" s="333">
        <f>SUM(J24:J27)+J19</f>
        <v>3533107.864</v>
      </c>
      <c r="K28" s="203" t="s">
        <v>562</v>
      </c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192"/>
      <c r="AB28" s="192"/>
      <c r="AC28" s="192"/>
      <c r="AD28" s="192"/>
      <c r="AE28" s="192"/>
    </row>
    <row r="29" spans="1:31" ht="15.75" customHeight="1">
      <c r="A29" s="206"/>
      <c r="B29" s="207" t="s">
        <v>556</v>
      </c>
      <c r="C29" s="334"/>
      <c r="D29" s="334"/>
      <c r="E29" s="331"/>
      <c r="F29" s="331"/>
      <c r="G29" s="335"/>
      <c r="H29" s="335"/>
      <c r="I29" s="335"/>
      <c r="J29" s="331">
        <f>(C29*D29*(1+H29/100)*I29*12)</f>
        <v>0</v>
      </c>
      <c r="K29" s="211" t="s">
        <v>563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192"/>
      <c r="AB29" s="192"/>
      <c r="AC29" s="192"/>
      <c r="AD29" s="192"/>
      <c r="AE29" s="192"/>
    </row>
    <row r="30" spans="1:31" ht="15.75" customHeight="1">
      <c r="A30" s="206"/>
      <c r="B30" s="207" t="s">
        <v>558</v>
      </c>
      <c r="C30" s="334"/>
      <c r="D30" s="334"/>
      <c r="E30" s="331"/>
      <c r="F30" s="331"/>
      <c r="G30" s="335"/>
      <c r="H30" s="335"/>
      <c r="I30" s="335"/>
      <c r="J30" s="331">
        <f>(C30*D30*(1+H30/100)*I30*12)</f>
        <v>0</v>
      </c>
      <c r="K30" s="211" t="s">
        <v>563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192"/>
      <c r="AB30" s="192"/>
      <c r="AC30" s="192"/>
      <c r="AD30" s="192"/>
      <c r="AE30" s="192"/>
    </row>
    <row r="31" spans="1:31" ht="15.75" customHeight="1">
      <c r="A31" s="206"/>
      <c r="B31" s="207" t="s">
        <v>559</v>
      </c>
      <c r="C31" s="334">
        <v>0</v>
      </c>
      <c r="D31" s="334">
        <v>0</v>
      </c>
      <c r="E31" s="331"/>
      <c r="F31" s="331"/>
      <c r="G31" s="335"/>
      <c r="H31" s="335"/>
      <c r="I31" s="335"/>
      <c r="J31" s="331">
        <f>D31</f>
        <v>0</v>
      </c>
      <c r="K31" s="211" t="s">
        <v>563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192"/>
      <c r="AB31" s="192"/>
      <c r="AC31" s="192"/>
      <c r="AD31" s="192"/>
      <c r="AE31" s="192"/>
    </row>
    <row r="32" spans="1:31" ht="15.75" customHeight="1">
      <c r="A32" s="206"/>
      <c r="B32" s="207" t="s">
        <v>560</v>
      </c>
      <c r="C32" s="334"/>
      <c r="D32" s="334"/>
      <c r="E32" s="331"/>
      <c r="F32" s="331"/>
      <c r="G32" s="335"/>
      <c r="H32" s="335"/>
      <c r="I32" s="335"/>
      <c r="J32" s="331">
        <f>(C32*D32*(1+H32/100)*I32*12)</f>
        <v>0</v>
      </c>
      <c r="K32" s="211" t="s">
        <v>563</v>
      </c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192"/>
      <c r="AB32" s="192"/>
      <c r="AC32" s="192"/>
      <c r="AD32" s="192"/>
      <c r="AE32" s="192"/>
    </row>
    <row r="33" spans="1:31" ht="15.75" customHeight="1">
      <c r="A33" s="206"/>
      <c r="B33" s="213" t="s">
        <v>561</v>
      </c>
      <c r="C33" s="334" t="s">
        <v>562</v>
      </c>
      <c r="D33" s="334"/>
      <c r="E33" s="331" t="s">
        <v>562</v>
      </c>
      <c r="F33" s="331" t="s">
        <v>562</v>
      </c>
      <c r="G33" s="335" t="s">
        <v>562</v>
      </c>
      <c r="H33" s="335" t="s">
        <v>562</v>
      </c>
      <c r="I33" s="335" t="s">
        <v>562</v>
      </c>
      <c r="J33" s="331">
        <f>SUM(J29:J32)</f>
        <v>0</v>
      </c>
      <c r="K33" s="203" t="s">
        <v>562</v>
      </c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</row>
    <row r="34" spans="1:12" ht="15.75" customHeight="1">
      <c r="A34" s="672" t="s">
        <v>561</v>
      </c>
      <c r="B34" s="673"/>
      <c r="C34" s="336" t="s">
        <v>562</v>
      </c>
      <c r="D34" s="337"/>
      <c r="E34" s="337"/>
      <c r="F34" s="337"/>
      <c r="G34" s="337"/>
      <c r="H34" s="337"/>
      <c r="I34" s="337"/>
      <c r="J34" s="290" t="s">
        <v>562</v>
      </c>
      <c r="K34" s="219"/>
      <c r="L34" s="391">
        <f>J19+G123+J27</f>
        <v>3811524.954</v>
      </c>
    </row>
    <row r="35" spans="1:12" ht="15.75" customHeight="1">
      <c r="A35" s="192"/>
      <c r="B35" s="220"/>
      <c r="C35" s="221"/>
      <c r="D35" s="220"/>
      <c r="E35" s="220"/>
      <c r="F35" s="220"/>
      <c r="G35" s="220"/>
      <c r="H35" s="220"/>
      <c r="I35" s="220"/>
      <c r="J35" s="222"/>
      <c r="K35" s="223"/>
      <c r="L35" s="391">
        <f>J28+G123</f>
        <v>4538259.393999999</v>
      </c>
    </row>
    <row r="36" spans="2:31" ht="15.75" customHeight="1" hidden="1">
      <c r="B36" s="194" t="s">
        <v>853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</row>
    <row r="37" spans="2:31" ht="15.75" customHeight="1" hidden="1">
      <c r="B37" s="186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</row>
    <row r="38" spans="1:83" ht="15.75" customHeight="1" hidden="1">
      <c r="A38" s="659" t="s">
        <v>545</v>
      </c>
      <c r="B38" s="660" t="s">
        <v>546</v>
      </c>
      <c r="C38" s="660" t="s">
        <v>547</v>
      </c>
      <c r="D38" s="663" t="s">
        <v>548</v>
      </c>
      <c r="E38" s="664"/>
      <c r="F38" s="664"/>
      <c r="G38" s="665"/>
      <c r="H38" s="666" t="s">
        <v>549</v>
      </c>
      <c r="I38" s="666" t="s">
        <v>550</v>
      </c>
      <c r="J38" s="666" t="s">
        <v>551</v>
      </c>
      <c r="K38" s="669" t="s">
        <v>552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2"/>
      <c r="BY38" s="192"/>
      <c r="BZ38" s="192"/>
      <c r="CA38" s="192"/>
      <c r="CB38" s="192"/>
      <c r="CC38" s="192"/>
      <c r="CD38" s="192"/>
      <c r="CE38" s="192"/>
    </row>
    <row r="39" spans="1:73" ht="15.75" customHeight="1" hidden="1">
      <c r="A39" s="659"/>
      <c r="B39" s="661"/>
      <c r="C39" s="661"/>
      <c r="D39" s="196" t="s">
        <v>36</v>
      </c>
      <c r="E39" s="670" t="s">
        <v>4</v>
      </c>
      <c r="F39" s="671"/>
      <c r="G39" s="671"/>
      <c r="H39" s="667"/>
      <c r="I39" s="667"/>
      <c r="J39" s="667"/>
      <c r="K39" s="669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</row>
    <row r="40" spans="1:31" ht="15.75" customHeight="1" hidden="1">
      <c r="A40" s="659"/>
      <c r="B40" s="662"/>
      <c r="C40" s="662"/>
      <c r="D40" s="198"/>
      <c r="E40" s="199" t="s">
        <v>553</v>
      </c>
      <c r="F40" s="199" t="s">
        <v>554</v>
      </c>
      <c r="G40" s="197" t="s">
        <v>555</v>
      </c>
      <c r="H40" s="668"/>
      <c r="I40" s="668"/>
      <c r="J40" s="668"/>
      <c r="K40" s="669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2"/>
      <c r="AB40" s="192"/>
      <c r="AC40" s="192"/>
      <c r="AD40" s="192"/>
      <c r="AE40" s="192"/>
    </row>
    <row r="41" spans="1:31" ht="15.75" customHeight="1" hidden="1">
      <c r="A41" s="200">
        <v>1</v>
      </c>
      <c r="B41" s="201">
        <v>2</v>
      </c>
      <c r="C41" s="201">
        <v>3</v>
      </c>
      <c r="D41" s="202">
        <v>4</v>
      </c>
      <c r="E41" s="203">
        <v>5</v>
      </c>
      <c r="F41" s="204">
        <v>6</v>
      </c>
      <c r="G41" s="201">
        <v>7</v>
      </c>
      <c r="H41" s="201">
        <v>8</v>
      </c>
      <c r="I41" s="201">
        <v>9</v>
      </c>
      <c r="J41" s="204">
        <v>10</v>
      </c>
      <c r="K41" s="204">
        <v>11</v>
      </c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192"/>
      <c r="AB41" s="192"/>
      <c r="AC41" s="192"/>
      <c r="AD41" s="192"/>
      <c r="AE41" s="192"/>
    </row>
    <row r="42" spans="1:31" ht="15.75" customHeight="1" hidden="1">
      <c r="A42" s="206"/>
      <c r="B42" s="207" t="s">
        <v>556</v>
      </c>
      <c r="C42" s="330">
        <v>2</v>
      </c>
      <c r="D42" s="330">
        <f>SUM(E42:H42)</f>
        <v>1560</v>
      </c>
      <c r="E42" s="330">
        <v>1560</v>
      </c>
      <c r="F42" s="203">
        <v>0</v>
      </c>
      <c r="G42" s="215">
        <v>0</v>
      </c>
      <c r="H42" s="215">
        <v>0</v>
      </c>
      <c r="I42" s="215">
        <v>1.15</v>
      </c>
      <c r="J42" s="331"/>
      <c r="K42" s="211" t="s">
        <v>557</v>
      </c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192"/>
      <c r="AB42" s="192"/>
      <c r="AC42" s="192"/>
      <c r="AD42" s="192"/>
      <c r="AE42" s="192"/>
    </row>
    <row r="43" spans="1:31" ht="15.75" customHeight="1" hidden="1">
      <c r="A43" s="206"/>
      <c r="B43" s="207" t="s">
        <v>558</v>
      </c>
      <c r="C43" s="330">
        <v>4</v>
      </c>
      <c r="D43" s="330">
        <f>SUM(E43:H43)</f>
        <v>2600</v>
      </c>
      <c r="E43" s="330">
        <v>2600</v>
      </c>
      <c r="F43" s="203">
        <v>0</v>
      </c>
      <c r="G43" s="215">
        <v>0</v>
      </c>
      <c r="H43" s="215">
        <v>0</v>
      </c>
      <c r="I43" s="215">
        <v>1.15</v>
      </c>
      <c r="J43" s="331"/>
      <c r="K43" s="211" t="s">
        <v>557</v>
      </c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92"/>
      <c r="AB43" s="192"/>
      <c r="AC43" s="192"/>
      <c r="AD43" s="192"/>
      <c r="AE43" s="192"/>
    </row>
    <row r="44" spans="1:31" ht="15.75" customHeight="1" hidden="1">
      <c r="A44" s="206"/>
      <c r="B44" s="207" t="s">
        <v>559</v>
      </c>
      <c r="C44" s="330">
        <v>5</v>
      </c>
      <c r="D44" s="330">
        <f>SUM(E44:H44)</f>
        <v>5074.76</v>
      </c>
      <c r="E44" s="330">
        <v>5074.76</v>
      </c>
      <c r="F44" s="203">
        <v>0</v>
      </c>
      <c r="G44" s="215">
        <v>0</v>
      </c>
      <c r="H44" s="215">
        <v>0</v>
      </c>
      <c r="I44" s="215">
        <v>1.15</v>
      </c>
      <c r="J44" s="331"/>
      <c r="K44" s="211" t="s">
        <v>557</v>
      </c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192"/>
      <c r="AB44" s="192"/>
      <c r="AC44" s="192"/>
      <c r="AD44" s="192"/>
      <c r="AE44" s="192"/>
    </row>
    <row r="45" spans="1:31" ht="15.75" customHeight="1" hidden="1">
      <c r="A45" s="206"/>
      <c r="B45" s="207" t="s">
        <v>560</v>
      </c>
      <c r="C45" s="535"/>
      <c r="D45" s="202"/>
      <c r="E45" s="203"/>
      <c r="F45" s="203"/>
      <c r="G45" s="215"/>
      <c r="H45" s="215"/>
      <c r="I45" s="215"/>
      <c r="J45" s="331"/>
      <c r="K45" s="211" t="s">
        <v>557</v>
      </c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92"/>
      <c r="AB45" s="192"/>
      <c r="AC45" s="192"/>
      <c r="AD45" s="192"/>
      <c r="AE45" s="192"/>
    </row>
    <row r="46" spans="1:31" ht="15.75" customHeight="1" hidden="1">
      <c r="A46" s="206"/>
      <c r="B46" s="207" t="s">
        <v>561</v>
      </c>
      <c r="C46" s="202" t="s">
        <v>562</v>
      </c>
      <c r="D46" s="202"/>
      <c r="E46" s="203" t="s">
        <v>562</v>
      </c>
      <c r="F46" s="203" t="s">
        <v>562</v>
      </c>
      <c r="G46" s="215" t="s">
        <v>562</v>
      </c>
      <c r="H46" s="215" t="s">
        <v>562</v>
      </c>
      <c r="I46" s="215" t="s">
        <v>562</v>
      </c>
      <c r="J46" s="331"/>
      <c r="K46" s="203" t="s">
        <v>562</v>
      </c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92"/>
      <c r="AB46" s="192"/>
      <c r="AC46" s="192"/>
      <c r="AD46" s="192"/>
      <c r="AE46" s="192"/>
    </row>
    <row r="47" spans="1:31" ht="15.75" customHeight="1" hidden="1">
      <c r="A47" s="206"/>
      <c r="B47" s="207" t="s">
        <v>556</v>
      </c>
      <c r="C47" s="202"/>
      <c r="D47" s="202"/>
      <c r="E47" s="203"/>
      <c r="F47" s="203"/>
      <c r="G47" s="215"/>
      <c r="H47" s="215"/>
      <c r="I47" s="215"/>
      <c r="J47" s="203">
        <f>(C47*D47*(1+H47/100)*I47*12)</f>
        <v>0</v>
      </c>
      <c r="K47" s="211" t="s">
        <v>563</v>
      </c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92"/>
      <c r="AB47" s="192"/>
      <c r="AC47" s="192"/>
      <c r="AD47" s="192"/>
      <c r="AE47" s="192"/>
    </row>
    <row r="48" spans="1:31" ht="15.75" customHeight="1" hidden="1">
      <c r="A48" s="206"/>
      <c r="B48" s="207" t="s">
        <v>558</v>
      </c>
      <c r="C48" s="202"/>
      <c r="D48" s="202"/>
      <c r="E48" s="203"/>
      <c r="F48" s="203"/>
      <c r="G48" s="215"/>
      <c r="H48" s="215"/>
      <c r="I48" s="215"/>
      <c r="J48" s="203">
        <f>(C48*D48*(1+H48/100)*I48*12)</f>
        <v>0</v>
      </c>
      <c r="K48" s="211" t="s">
        <v>563</v>
      </c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192"/>
      <c r="AB48" s="192"/>
      <c r="AC48" s="192"/>
      <c r="AD48" s="192"/>
      <c r="AE48" s="192"/>
    </row>
    <row r="49" spans="1:31" ht="15.75" customHeight="1" hidden="1">
      <c r="A49" s="206"/>
      <c r="B49" s="207" t="s">
        <v>559</v>
      </c>
      <c r="C49" s="202"/>
      <c r="D49" s="202"/>
      <c r="E49" s="203"/>
      <c r="F49" s="203"/>
      <c r="G49" s="215"/>
      <c r="H49" s="215"/>
      <c r="I49" s="215"/>
      <c r="J49" s="203">
        <f>(C49*D49*(1+H49/100)*I49*12)</f>
        <v>0</v>
      </c>
      <c r="K49" s="211" t="s">
        <v>563</v>
      </c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192"/>
      <c r="AB49" s="192"/>
      <c r="AC49" s="192"/>
      <c r="AD49" s="192"/>
      <c r="AE49" s="192"/>
    </row>
    <row r="50" spans="1:31" ht="15.75" customHeight="1" hidden="1">
      <c r="A50" s="206"/>
      <c r="B50" s="207" t="s">
        <v>560</v>
      </c>
      <c r="C50" s="202"/>
      <c r="D50" s="202"/>
      <c r="E50" s="203"/>
      <c r="F50" s="203"/>
      <c r="G50" s="215"/>
      <c r="H50" s="215"/>
      <c r="I50" s="215"/>
      <c r="J50" s="203">
        <f>(C50*D50*(1+H50/100)*I50*12)</f>
        <v>0</v>
      </c>
      <c r="K50" s="211" t="s">
        <v>563</v>
      </c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192"/>
      <c r="AB50" s="192"/>
      <c r="AC50" s="192"/>
      <c r="AD50" s="192"/>
      <c r="AE50" s="192"/>
    </row>
    <row r="51" spans="1:31" ht="15.75" customHeight="1" hidden="1">
      <c r="A51" s="206"/>
      <c r="B51" s="207" t="s">
        <v>561</v>
      </c>
      <c r="C51" s="202" t="s">
        <v>562</v>
      </c>
      <c r="D51" s="202"/>
      <c r="E51" s="203" t="s">
        <v>562</v>
      </c>
      <c r="F51" s="203" t="s">
        <v>562</v>
      </c>
      <c r="G51" s="215" t="s">
        <v>562</v>
      </c>
      <c r="H51" s="215" t="s">
        <v>562</v>
      </c>
      <c r="I51" s="215" t="s">
        <v>562</v>
      </c>
      <c r="J51" s="203">
        <f>SUM(J47:J50)</f>
        <v>0</v>
      </c>
      <c r="K51" s="203" t="s">
        <v>562</v>
      </c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</row>
    <row r="52" spans="1:11" ht="15.75" customHeight="1" hidden="1">
      <c r="A52" s="672" t="s">
        <v>561</v>
      </c>
      <c r="B52" s="673"/>
      <c r="C52" s="520"/>
      <c r="D52" s="217"/>
      <c r="E52" s="217"/>
      <c r="F52" s="217"/>
      <c r="G52" s="217"/>
      <c r="H52" s="217"/>
      <c r="I52" s="217"/>
      <c r="J52" s="218">
        <f>J46+J51</f>
        <v>0</v>
      </c>
      <c r="K52" s="219"/>
    </row>
    <row r="53" spans="1:12" ht="15.75" customHeight="1" hidden="1">
      <c r="A53" s="192"/>
      <c r="B53" s="220"/>
      <c r="C53" s="221"/>
      <c r="D53" s="220"/>
      <c r="E53" s="220"/>
      <c r="F53" s="220"/>
      <c r="G53" s="220"/>
      <c r="H53" s="220"/>
      <c r="I53" s="220"/>
      <c r="J53" s="222"/>
      <c r="K53" s="223"/>
      <c r="L53" s="391"/>
    </row>
    <row r="54" spans="1:12" ht="15.75" customHeight="1">
      <c r="A54" s="192"/>
      <c r="B54" s="220"/>
      <c r="C54" s="221"/>
      <c r="D54" s="220"/>
      <c r="E54" s="220"/>
      <c r="F54" s="220"/>
      <c r="G54" s="220"/>
      <c r="H54" s="220"/>
      <c r="I54" s="220"/>
      <c r="J54" s="222"/>
      <c r="K54" s="223"/>
      <c r="L54" s="391"/>
    </row>
    <row r="55" spans="1:11" ht="208.5" customHeight="1">
      <c r="A55" s="674" t="s">
        <v>564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</row>
    <row r="56" spans="2:11" ht="15.75" customHeight="1">
      <c r="B56" s="675"/>
      <c r="C56" s="675"/>
      <c r="D56" s="675"/>
      <c r="E56" s="675"/>
      <c r="F56" s="675"/>
      <c r="G56" s="675"/>
      <c r="H56" s="675"/>
      <c r="I56" s="675"/>
      <c r="J56" s="675"/>
      <c r="K56" s="675"/>
    </row>
    <row r="57" spans="2:7" ht="15.75">
      <c r="B57" s="686" t="s">
        <v>824</v>
      </c>
      <c r="C57" s="686"/>
      <c r="D57" s="686"/>
      <c r="E57" s="686"/>
      <c r="F57" s="686"/>
      <c r="G57" s="686"/>
    </row>
    <row r="59" spans="1:9" ht="26.25" customHeight="1">
      <c r="A59" s="677" t="s">
        <v>545</v>
      </c>
      <c r="B59" s="679" t="s">
        <v>566</v>
      </c>
      <c r="C59" s="679" t="s">
        <v>573</v>
      </c>
      <c r="D59" s="679" t="s">
        <v>574</v>
      </c>
      <c r="E59" s="679" t="s">
        <v>575</v>
      </c>
      <c r="F59" s="687" t="s">
        <v>570</v>
      </c>
      <c r="G59" s="687"/>
      <c r="H59" s="687"/>
      <c r="I59" s="226"/>
    </row>
    <row r="60" spans="1:9" ht="51" customHeight="1">
      <c r="A60" s="678"/>
      <c r="B60" s="680"/>
      <c r="C60" s="680"/>
      <c r="D60" s="680"/>
      <c r="E60" s="680"/>
      <c r="F60" s="227" t="s">
        <v>33</v>
      </c>
      <c r="G60" s="227" t="s">
        <v>557</v>
      </c>
      <c r="H60" s="227" t="s">
        <v>563</v>
      </c>
      <c r="I60" s="228"/>
    </row>
    <row r="61" spans="1:9" ht="15.75">
      <c r="A61" s="206">
        <v>1</v>
      </c>
      <c r="B61" s="229">
        <v>2</v>
      </c>
      <c r="C61" s="229">
        <v>3</v>
      </c>
      <c r="D61" s="229">
        <v>4</v>
      </c>
      <c r="E61" s="229">
        <v>5</v>
      </c>
      <c r="F61" s="229">
        <v>6</v>
      </c>
      <c r="G61" s="229">
        <v>7</v>
      </c>
      <c r="H61" s="229">
        <v>8</v>
      </c>
      <c r="I61" s="231"/>
    </row>
    <row r="62" spans="1:9" ht="15.75">
      <c r="A62" s="206">
        <v>1</v>
      </c>
      <c r="B62" s="200" t="s">
        <v>823</v>
      </c>
      <c r="C62" s="206"/>
      <c r="D62" s="206"/>
      <c r="E62" s="206"/>
      <c r="F62" s="355">
        <f>H62</f>
        <v>18079.2</v>
      </c>
      <c r="G62" s="355"/>
      <c r="H62" s="355">
        <f>2*9039.6</f>
        <v>18079.2</v>
      </c>
      <c r="I62" s="192"/>
    </row>
    <row r="63" spans="1:9" ht="15.75">
      <c r="A63" s="206">
        <v>2</v>
      </c>
      <c r="B63" s="200" t="s">
        <v>823</v>
      </c>
      <c r="C63" s="206"/>
      <c r="D63" s="206"/>
      <c r="E63" s="206"/>
      <c r="F63" s="265">
        <f>G63</f>
        <v>24105.6</v>
      </c>
      <c r="G63" s="355">
        <f>2*12052.8</f>
        <v>24105.6</v>
      </c>
      <c r="H63" s="355"/>
      <c r="I63" s="192"/>
    </row>
    <row r="64" spans="1:9" ht="15.75">
      <c r="A64" s="684" t="s">
        <v>571</v>
      </c>
      <c r="B64" s="685"/>
      <c r="C64" s="200" t="s">
        <v>562</v>
      </c>
      <c r="D64" s="200" t="s">
        <v>562</v>
      </c>
      <c r="E64" s="200" t="s">
        <v>562</v>
      </c>
      <c r="F64" s="265">
        <f>F63+F62</f>
        <v>42184.8</v>
      </c>
      <c r="G64" s="355">
        <f>G63</f>
        <v>24105.6</v>
      </c>
      <c r="H64" s="355">
        <f>H62</f>
        <v>18079.2</v>
      </c>
      <c r="I64" s="192"/>
    </row>
    <row r="65" spans="2:11" ht="15.75" customHeight="1">
      <c r="B65" s="510"/>
      <c r="C65" s="510"/>
      <c r="D65" s="510"/>
      <c r="E65" s="510"/>
      <c r="F65" s="510"/>
      <c r="G65" s="510"/>
      <c r="H65" s="510"/>
      <c r="I65" s="510"/>
      <c r="J65" s="510"/>
      <c r="K65" s="510"/>
    </row>
    <row r="66" spans="2:11" ht="15.75" customHeight="1">
      <c r="B66" s="510"/>
      <c r="C66" s="510"/>
      <c r="D66" s="510"/>
      <c r="E66" s="510"/>
      <c r="F66" s="510"/>
      <c r="G66" s="510"/>
      <c r="H66" s="510"/>
      <c r="I66" s="510"/>
      <c r="J66" s="510"/>
      <c r="K66" s="510"/>
    </row>
    <row r="67" spans="2:11" ht="15.75" customHeight="1">
      <c r="B67" s="510"/>
      <c r="C67" s="510"/>
      <c r="D67" s="510"/>
      <c r="E67" s="510"/>
      <c r="F67" s="510"/>
      <c r="G67" s="510"/>
      <c r="H67" s="510"/>
      <c r="I67" s="510"/>
      <c r="J67" s="510"/>
      <c r="K67" s="510"/>
    </row>
    <row r="68" spans="2:9" ht="21" customHeight="1" hidden="1">
      <c r="B68" s="676" t="s">
        <v>565</v>
      </c>
      <c r="C68" s="676"/>
      <c r="D68" s="676"/>
      <c r="E68" s="676"/>
      <c r="F68" s="676"/>
      <c r="G68" s="676"/>
      <c r="H68" s="676"/>
      <c r="I68" s="676"/>
    </row>
    <row r="69" ht="15.75" hidden="1"/>
    <row r="70" spans="1:9" ht="26.25" customHeight="1" hidden="1">
      <c r="A70" s="677" t="s">
        <v>545</v>
      </c>
      <c r="B70" s="679" t="s">
        <v>566</v>
      </c>
      <c r="C70" s="679" t="s">
        <v>567</v>
      </c>
      <c r="D70" s="679" t="s">
        <v>568</v>
      </c>
      <c r="E70" s="679" t="s">
        <v>569</v>
      </c>
      <c r="F70" s="681" t="s">
        <v>570</v>
      </c>
      <c r="G70" s="682"/>
      <c r="H70" s="683"/>
      <c r="I70" s="226"/>
    </row>
    <row r="71" spans="1:9" ht="39.75" customHeight="1" hidden="1">
      <c r="A71" s="678"/>
      <c r="B71" s="680"/>
      <c r="C71" s="680"/>
      <c r="D71" s="680"/>
      <c r="E71" s="680"/>
      <c r="F71" s="227" t="s">
        <v>33</v>
      </c>
      <c r="G71" s="225" t="s">
        <v>557</v>
      </c>
      <c r="H71" s="227" t="s">
        <v>563</v>
      </c>
      <c r="I71" s="228"/>
    </row>
    <row r="72" spans="1:9" ht="15.75" hidden="1">
      <c r="A72" s="206">
        <v>1</v>
      </c>
      <c r="B72" s="229">
        <v>2</v>
      </c>
      <c r="C72" s="229">
        <v>3</v>
      </c>
      <c r="D72" s="229">
        <v>4</v>
      </c>
      <c r="E72" s="229">
        <v>5</v>
      </c>
      <c r="F72" s="229">
        <v>6</v>
      </c>
      <c r="G72" s="230">
        <v>7</v>
      </c>
      <c r="H72" s="229">
        <v>8</v>
      </c>
      <c r="I72" s="231"/>
    </row>
    <row r="73" spans="1:9" ht="15.75" hidden="1">
      <c r="A73" s="206"/>
      <c r="B73" s="200"/>
      <c r="C73" s="206"/>
      <c r="D73" s="206"/>
      <c r="E73" s="206"/>
      <c r="F73" s="232"/>
      <c r="G73" s="233"/>
      <c r="H73" s="232"/>
      <c r="I73" s="192"/>
    </row>
    <row r="74" spans="1:9" ht="15.75" hidden="1">
      <c r="A74" s="206"/>
      <c r="B74" s="200"/>
      <c r="C74" s="206"/>
      <c r="D74" s="206"/>
      <c r="E74" s="206"/>
      <c r="F74" s="206"/>
      <c r="G74" s="233"/>
      <c r="H74" s="232"/>
      <c r="I74" s="192"/>
    </row>
    <row r="75" spans="1:9" ht="15.75" hidden="1">
      <c r="A75" s="684" t="s">
        <v>571</v>
      </c>
      <c r="B75" s="685"/>
      <c r="C75" s="200" t="s">
        <v>562</v>
      </c>
      <c r="D75" s="200" t="s">
        <v>562</v>
      </c>
      <c r="E75" s="200" t="s">
        <v>562</v>
      </c>
      <c r="F75" s="206"/>
      <c r="G75" s="233"/>
      <c r="H75" s="232"/>
      <c r="I75" s="192"/>
    </row>
    <row r="77" spans="2:6" ht="15.75">
      <c r="B77" s="686" t="s">
        <v>572</v>
      </c>
      <c r="C77" s="686"/>
      <c r="D77" s="686"/>
      <c r="E77" s="686"/>
      <c r="F77" s="686"/>
    </row>
    <row r="79" spans="1:9" ht="26.25" customHeight="1">
      <c r="A79" s="677" t="s">
        <v>545</v>
      </c>
      <c r="B79" s="679" t="s">
        <v>566</v>
      </c>
      <c r="C79" s="679" t="s">
        <v>573</v>
      </c>
      <c r="D79" s="679" t="s">
        <v>574</v>
      </c>
      <c r="E79" s="679" t="s">
        <v>575</v>
      </c>
      <c r="F79" s="687" t="s">
        <v>570</v>
      </c>
      <c r="G79" s="687"/>
      <c r="H79" s="687"/>
      <c r="I79" s="226"/>
    </row>
    <row r="80" spans="1:9" ht="51" customHeight="1">
      <c r="A80" s="678"/>
      <c r="B80" s="680"/>
      <c r="C80" s="680"/>
      <c r="D80" s="680"/>
      <c r="E80" s="680"/>
      <c r="F80" s="227" t="s">
        <v>33</v>
      </c>
      <c r="G80" s="227" t="s">
        <v>557</v>
      </c>
      <c r="H80" s="227" t="s">
        <v>563</v>
      </c>
      <c r="I80" s="228"/>
    </row>
    <row r="81" spans="1:9" ht="15.75">
      <c r="A81" s="206">
        <v>1</v>
      </c>
      <c r="B81" s="229">
        <v>2</v>
      </c>
      <c r="C81" s="229">
        <v>3</v>
      </c>
      <c r="D81" s="229">
        <v>4</v>
      </c>
      <c r="E81" s="229">
        <v>5</v>
      </c>
      <c r="F81" s="229">
        <v>6</v>
      </c>
      <c r="G81" s="229">
        <v>7</v>
      </c>
      <c r="H81" s="229">
        <v>8</v>
      </c>
      <c r="I81" s="231"/>
    </row>
    <row r="82" spans="1:9" ht="47.25">
      <c r="A82" s="232">
        <v>1</v>
      </c>
      <c r="B82" s="536" t="s">
        <v>915</v>
      </c>
      <c r="C82" s="232" t="s">
        <v>754</v>
      </c>
      <c r="D82" s="232" t="s">
        <v>754</v>
      </c>
      <c r="E82" s="232" t="s">
        <v>754</v>
      </c>
      <c r="F82" s="355">
        <f>SUM(G82:H82)</f>
        <v>100000</v>
      </c>
      <c r="G82" s="355">
        <v>100000</v>
      </c>
      <c r="H82" s="232"/>
      <c r="I82" s="192"/>
    </row>
    <row r="83" spans="1:9" ht="15.75">
      <c r="A83" s="206"/>
      <c r="B83" s="200"/>
      <c r="C83" s="206"/>
      <c r="D83" s="206"/>
      <c r="E83" s="206"/>
      <c r="F83" s="206"/>
      <c r="G83" s="232"/>
      <c r="H83" s="232"/>
      <c r="I83" s="192"/>
    </row>
    <row r="84" spans="1:9" ht="15.75">
      <c r="A84" s="684" t="s">
        <v>571</v>
      </c>
      <c r="B84" s="685"/>
      <c r="C84" s="200" t="s">
        <v>562</v>
      </c>
      <c r="D84" s="200" t="s">
        <v>562</v>
      </c>
      <c r="E84" s="200" t="s">
        <v>562</v>
      </c>
      <c r="F84" s="356">
        <f>F82</f>
        <v>100000</v>
      </c>
      <c r="G84" s="355">
        <f>G82</f>
        <v>100000</v>
      </c>
      <c r="H84" s="232"/>
      <c r="I84" s="192"/>
    </row>
    <row r="86" spans="2:6" ht="15.75" hidden="1">
      <c r="B86" s="686" t="s">
        <v>914</v>
      </c>
      <c r="C86" s="686"/>
      <c r="D86" s="686"/>
      <c r="E86" s="686"/>
      <c r="F86" s="686"/>
    </row>
    <row r="87" ht="15.75" hidden="1"/>
    <row r="88" spans="1:9" ht="15.75" hidden="1">
      <c r="A88" s="677" t="s">
        <v>545</v>
      </c>
      <c r="B88" s="679" t="s">
        <v>566</v>
      </c>
      <c r="C88" s="679" t="s">
        <v>573</v>
      </c>
      <c r="D88" s="679" t="s">
        <v>574</v>
      </c>
      <c r="E88" s="679" t="s">
        <v>575</v>
      </c>
      <c r="F88" s="687" t="s">
        <v>570</v>
      </c>
      <c r="G88" s="687"/>
      <c r="H88" s="687"/>
      <c r="I88" s="226"/>
    </row>
    <row r="89" spans="1:9" ht="31.5" hidden="1">
      <c r="A89" s="678"/>
      <c r="B89" s="680"/>
      <c r="C89" s="680"/>
      <c r="D89" s="680"/>
      <c r="E89" s="680"/>
      <c r="F89" s="227" t="s">
        <v>33</v>
      </c>
      <c r="G89" s="227" t="s">
        <v>557</v>
      </c>
      <c r="H89" s="227" t="s">
        <v>563</v>
      </c>
      <c r="I89" s="228"/>
    </row>
    <row r="90" spans="1:9" ht="15.75" hidden="1">
      <c r="A90" s="206">
        <v>1</v>
      </c>
      <c r="B90" s="229">
        <v>2</v>
      </c>
      <c r="C90" s="229">
        <v>3</v>
      </c>
      <c r="D90" s="229">
        <v>4</v>
      </c>
      <c r="E90" s="229">
        <v>5</v>
      </c>
      <c r="F90" s="229">
        <v>6</v>
      </c>
      <c r="G90" s="229">
        <v>7</v>
      </c>
      <c r="H90" s="229">
        <v>8</v>
      </c>
      <c r="I90" s="231"/>
    </row>
    <row r="91" spans="1:9" ht="47.25" hidden="1">
      <c r="A91" s="232">
        <v>1</v>
      </c>
      <c r="B91" s="536" t="s">
        <v>915</v>
      </c>
      <c r="C91" s="232" t="s">
        <v>754</v>
      </c>
      <c r="D91" s="232" t="s">
        <v>754</v>
      </c>
      <c r="E91" s="232" t="s">
        <v>754</v>
      </c>
      <c r="F91" s="355">
        <f>SUM(G91:H91)</f>
        <v>0</v>
      </c>
      <c r="G91" s="355"/>
      <c r="H91" s="355">
        <v>0</v>
      </c>
      <c r="I91" s="192"/>
    </row>
    <row r="92" spans="1:9" ht="16.5" hidden="1">
      <c r="A92" s="684" t="s">
        <v>571</v>
      </c>
      <c r="B92" s="685"/>
      <c r="C92" s="200" t="s">
        <v>562</v>
      </c>
      <c r="D92" s="200" t="s">
        <v>562</v>
      </c>
      <c r="E92" s="200" t="s">
        <v>562</v>
      </c>
      <c r="F92" s="521">
        <f>SUM(F91)</f>
        <v>0</v>
      </c>
      <c r="G92" s="521">
        <f>SUM(G91)</f>
        <v>0</v>
      </c>
      <c r="H92" s="521">
        <f>SUM(H91)</f>
        <v>0</v>
      </c>
      <c r="I92" s="192"/>
    </row>
    <row r="94" spans="2:9" ht="33" customHeight="1">
      <c r="B94" s="688" t="s">
        <v>576</v>
      </c>
      <c r="C94" s="688"/>
      <c r="D94" s="688"/>
      <c r="E94" s="688"/>
      <c r="F94" s="688"/>
      <c r="G94" s="688"/>
      <c r="H94" s="688"/>
      <c r="I94" s="688"/>
    </row>
    <row r="96" spans="1:9" ht="31.5" customHeight="1">
      <c r="A96" s="689" t="s">
        <v>545</v>
      </c>
      <c r="B96" s="687" t="s">
        <v>577</v>
      </c>
      <c r="C96" s="687"/>
      <c r="D96" s="687"/>
      <c r="E96" s="679" t="s">
        <v>578</v>
      </c>
      <c r="F96" s="687" t="s">
        <v>579</v>
      </c>
      <c r="G96" s="687"/>
      <c r="H96" s="687"/>
      <c r="I96" s="234"/>
    </row>
    <row r="97" spans="1:9" ht="31.5" customHeight="1">
      <c r="A97" s="690"/>
      <c r="B97" s="687"/>
      <c r="C97" s="687"/>
      <c r="D97" s="687"/>
      <c r="E97" s="680"/>
      <c r="F97" s="227" t="s">
        <v>580</v>
      </c>
      <c r="G97" s="227" t="s">
        <v>557</v>
      </c>
      <c r="H97" s="227" t="s">
        <v>563</v>
      </c>
      <c r="I97" s="228"/>
    </row>
    <row r="98" spans="1:9" ht="17.25" customHeight="1">
      <c r="A98" s="235">
        <v>1</v>
      </c>
      <c r="B98" s="691">
        <v>2</v>
      </c>
      <c r="C98" s="691"/>
      <c r="D98" s="691"/>
      <c r="E98" s="200">
        <v>3</v>
      </c>
      <c r="F98" s="200">
        <v>4</v>
      </c>
      <c r="G98" s="200">
        <v>5</v>
      </c>
      <c r="H98" s="200">
        <v>6</v>
      </c>
      <c r="I98" s="237"/>
    </row>
    <row r="99" spans="1:9" s="188" customFormat="1" ht="32.25" customHeight="1">
      <c r="A99" s="238">
        <v>1</v>
      </c>
      <c r="B99" s="649" t="s">
        <v>581</v>
      </c>
      <c r="C99" s="650"/>
      <c r="D99" s="651"/>
      <c r="E99" s="232" t="s">
        <v>562</v>
      </c>
      <c r="F99" s="232"/>
      <c r="G99" s="232"/>
      <c r="H99" s="232"/>
      <c r="I99" s="192"/>
    </row>
    <row r="100" spans="1:9" ht="34.5" customHeight="1">
      <c r="A100" s="238" t="s">
        <v>582</v>
      </c>
      <c r="B100" s="649" t="s">
        <v>583</v>
      </c>
      <c r="C100" s="650"/>
      <c r="D100" s="651"/>
      <c r="E100" s="239">
        <f>J19</f>
        <v>2791597.5840000003</v>
      </c>
      <c r="F100" s="239">
        <f>SUM(G100:H100)</f>
        <v>614147.4</v>
      </c>
      <c r="G100" s="239">
        <f>ROUND(E100*22%,2)-0.62-2.1-1.35</f>
        <v>614147.4</v>
      </c>
      <c r="H100" s="206"/>
      <c r="I100" s="192"/>
    </row>
    <row r="101" spans="1:9" ht="16.5" customHeight="1">
      <c r="A101" s="238" t="s">
        <v>584</v>
      </c>
      <c r="B101" s="649" t="s">
        <v>585</v>
      </c>
      <c r="C101" s="650"/>
      <c r="D101" s="651"/>
      <c r="E101" s="240">
        <v>0</v>
      </c>
      <c r="F101" s="240"/>
      <c r="G101" s="240"/>
      <c r="H101" s="206"/>
      <c r="I101" s="192"/>
    </row>
    <row r="102" spans="1:9" ht="34.5" customHeight="1">
      <c r="A102" s="238" t="s">
        <v>586</v>
      </c>
      <c r="B102" s="649" t="s">
        <v>587</v>
      </c>
      <c r="C102" s="650"/>
      <c r="D102" s="651"/>
      <c r="E102" s="240">
        <v>0</v>
      </c>
      <c r="F102" s="240"/>
      <c r="G102" s="240"/>
      <c r="H102" s="206"/>
      <c r="I102" s="192"/>
    </row>
    <row r="103" spans="1:9" ht="33" customHeight="1">
      <c r="A103" s="238" t="s">
        <v>588</v>
      </c>
      <c r="B103" s="649" t="s">
        <v>589</v>
      </c>
      <c r="C103" s="650"/>
      <c r="D103" s="651"/>
      <c r="E103" s="239">
        <f>SUM(F103:G103)</f>
        <v>0</v>
      </c>
      <c r="F103" s="239">
        <f>SUM(G103:H103)</f>
        <v>0</v>
      </c>
      <c r="G103" s="240"/>
      <c r="H103" s="206"/>
      <c r="I103" s="192"/>
    </row>
    <row r="104" spans="1:9" ht="41.25" customHeight="1">
      <c r="A104" s="238" t="s">
        <v>590</v>
      </c>
      <c r="B104" s="652" t="s">
        <v>591</v>
      </c>
      <c r="C104" s="653"/>
      <c r="D104" s="654"/>
      <c r="E104" s="239">
        <f>E100</f>
        <v>2791597.5840000003</v>
      </c>
      <c r="F104" s="239">
        <f>SUM(G104:H104)</f>
        <v>80956.33</v>
      </c>
      <c r="G104" s="239">
        <f>ROUND(E104*2.9%,2)</f>
        <v>80956.33</v>
      </c>
      <c r="H104" s="206"/>
      <c r="I104" s="192"/>
    </row>
    <row r="105" spans="1:9" ht="34.5" customHeight="1">
      <c r="A105" s="238" t="s">
        <v>592</v>
      </c>
      <c r="B105" s="649" t="s">
        <v>593</v>
      </c>
      <c r="C105" s="650"/>
      <c r="D105" s="651"/>
      <c r="E105" s="240">
        <v>0</v>
      </c>
      <c r="F105" s="240"/>
      <c r="G105" s="240"/>
      <c r="H105" s="206"/>
      <c r="I105" s="192"/>
    </row>
    <row r="106" spans="1:9" ht="33.75" customHeight="1">
      <c r="A106" s="238" t="s">
        <v>594</v>
      </c>
      <c r="B106" s="649" t="s">
        <v>595</v>
      </c>
      <c r="C106" s="650"/>
      <c r="D106" s="651"/>
      <c r="E106" s="239">
        <f>E104</f>
        <v>2791597.5840000003</v>
      </c>
      <c r="F106" s="239">
        <f>SUM(G106:H106)</f>
        <v>5583.2</v>
      </c>
      <c r="G106" s="239">
        <f>ROUND(E106*0.2%,2)</f>
        <v>5583.2</v>
      </c>
      <c r="H106" s="206"/>
      <c r="I106" s="192"/>
    </row>
    <row r="107" spans="1:9" ht="33.75" customHeight="1">
      <c r="A107" s="238" t="s">
        <v>596</v>
      </c>
      <c r="B107" s="649" t="s">
        <v>597</v>
      </c>
      <c r="C107" s="650"/>
      <c r="D107" s="651"/>
      <c r="E107" s="240">
        <v>0</v>
      </c>
      <c r="F107" s="240"/>
      <c r="G107" s="240"/>
      <c r="H107" s="206"/>
      <c r="I107" s="192"/>
    </row>
    <row r="108" spans="1:9" ht="39.75" customHeight="1">
      <c r="A108" s="238" t="s">
        <v>598</v>
      </c>
      <c r="B108" s="649" t="s">
        <v>597</v>
      </c>
      <c r="C108" s="650"/>
      <c r="D108" s="651"/>
      <c r="E108" s="240">
        <v>0</v>
      </c>
      <c r="F108" s="240"/>
      <c r="G108" s="240"/>
      <c r="H108" s="206"/>
      <c r="I108" s="192"/>
    </row>
    <row r="109" spans="1:9" ht="30" customHeight="1">
      <c r="A109" s="238" t="s">
        <v>599</v>
      </c>
      <c r="B109" s="649" t="s">
        <v>600</v>
      </c>
      <c r="C109" s="650"/>
      <c r="D109" s="651"/>
      <c r="E109" s="239">
        <f>E106</f>
        <v>2791597.5840000003</v>
      </c>
      <c r="F109" s="239">
        <f>SUM(G109:H109)</f>
        <v>142371.48</v>
      </c>
      <c r="G109" s="239">
        <f>ROUND(E109*5.1%,2)</f>
        <v>142371.48</v>
      </c>
      <c r="H109" s="206"/>
      <c r="I109" s="192"/>
    </row>
    <row r="110" spans="1:9" ht="30" customHeight="1">
      <c r="A110" s="238"/>
      <c r="B110" s="649" t="s">
        <v>581</v>
      </c>
      <c r="C110" s="650"/>
      <c r="D110" s="651"/>
      <c r="E110" s="232" t="s">
        <v>562</v>
      </c>
      <c r="F110" s="232">
        <f>SUM(G110:H110)</f>
        <v>118081.58</v>
      </c>
      <c r="G110" s="232">
        <f>SUM(G111:G112)</f>
        <v>118081.58</v>
      </c>
      <c r="H110" s="232">
        <f>SUM(H111:H112)</f>
        <v>0</v>
      </c>
      <c r="I110" s="192"/>
    </row>
    <row r="111" spans="1:9" ht="30" customHeight="1">
      <c r="A111" s="238"/>
      <c r="B111" s="649" t="s">
        <v>583</v>
      </c>
      <c r="C111" s="650"/>
      <c r="D111" s="651"/>
      <c r="E111" s="232">
        <v>536734.44</v>
      </c>
      <c r="F111" s="232">
        <f>SUM(G111:H111)</f>
        <v>118081.58</v>
      </c>
      <c r="G111" s="232">
        <v>118081.58</v>
      </c>
      <c r="H111" s="232">
        <v>0</v>
      </c>
      <c r="I111" s="192"/>
    </row>
    <row r="112" spans="1:9" ht="30" customHeight="1">
      <c r="A112" s="238"/>
      <c r="B112" s="649" t="s">
        <v>585</v>
      </c>
      <c r="C112" s="650"/>
      <c r="D112" s="651"/>
      <c r="E112" s="206"/>
      <c r="F112" s="232"/>
      <c r="G112" s="232"/>
      <c r="H112" s="232"/>
      <c r="I112" s="192"/>
    </row>
    <row r="113" spans="1:9" ht="30" customHeight="1">
      <c r="A113" s="238"/>
      <c r="B113" s="649" t="s">
        <v>587</v>
      </c>
      <c r="C113" s="650"/>
      <c r="D113" s="651"/>
      <c r="E113" s="206"/>
      <c r="F113" s="232"/>
      <c r="G113" s="232"/>
      <c r="H113" s="232"/>
      <c r="I113" s="192"/>
    </row>
    <row r="114" spans="1:9" ht="30" customHeight="1">
      <c r="A114" s="238"/>
      <c r="B114" s="649" t="s">
        <v>589</v>
      </c>
      <c r="C114" s="650"/>
      <c r="D114" s="651"/>
      <c r="E114" s="232" t="s">
        <v>562</v>
      </c>
      <c r="F114" s="232">
        <f>SUM(G114:H114)</f>
        <v>16638.08</v>
      </c>
      <c r="G114" s="232">
        <f>SUM(G115+G117)</f>
        <v>16638.08</v>
      </c>
      <c r="H114" s="232">
        <f>SUM(H115+H117)</f>
        <v>0</v>
      </c>
      <c r="I114" s="192"/>
    </row>
    <row r="115" spans="1:9" ht="30" customHeight="1">
      <c r="A115" s="238"/>
      <c r="B115" s="652" t="s">
        <v>591</v>
      </c>
      <c r="C115" s="653"/>
      <c r="D115" s="654"/>
      <c r="E115" s="232">
        <v>536734.44</v>
      </c>
      <c r="F115" s="232">
        <f>SUM(G115:H115)</f>
        <v>15564.61</v>
      </c>
      <c r="G115" s="232">
        <v>15564.61</v>
      </c>
      <c r="H115" s="232">
        <v>0</v>
      </c>
      <c r="I115" s="192"/>
    </row>
    <row r="116" spans="1:9" ht="30" customHeight="1">
      <c r="A116" s="238"/>
      <c r="B116" s="649" t="s">
        <v>593</v>
      </c>
      <c r="C116" s="650"/>
      <c r="D116" s="651"/>
      <c r="E116" s="206"/>
      <c r="F116" s="232"/>
      <c r="G116" s="232"/>
      <c r="H116" s="232"/>
      <c r="I116" s="192"/>
    </row>
    <row r="117" spans="1:9" ht="30" customHeight="1">
      <c r="A117" s="238"/>
      <c r="B117" s="649" t="s">
        <v>595</v>
      </c>
      <c r="C117" s="650"/>
      <c r="D117" s="651"/>
      <c r="E117" s="232">
        <v>536734.44</v>
      </c>
      <c r="F117" s="232">
        <f>SUM(G117:H117)</f>
        <v>1073.47</v>
      </c>
      <c r="G117" s="232">
        <v>1073.47</v>
      </c>
      <c r="H117" s="232">
        <v>0</v>
      </c>
      <c r="I117" s="192"/>
    </row>
    <row r="118" spans="1:9" ht="30" customHeight="1">
      <c r="A118" s="238"/>
      <c r="B118" s="649" t="s">
        <v>597</v>
      </c>
      <c r="C118" s="650"/>
      <c r="D118" s="651"/>
      <c r="E118" s="206"/>
      <c r="F118" s="232"/>
      <c r="G118" s="232"/>
      <c r="H118" s="232"/>
      <c r="I118" s="192"/>
    </row>
    <row r="119" spans="1:9" ht="30" customHeight="1">
      <c r="A119" s="238"/>
      <c r="B119" s="649" t="s">
        <v>597</v>
      </c>
      <c r="C119" s="650"/>
      <c r="D119" s="651"/>
      <c r="E119" s="206"/>
      <c r="F119" s="232"/>
      <c r="G119" s="232"/>
      <c r="H119" s="232"/>
      <c r="I119" s="192"/>
    </row>
    <row r="120" spans="1:9" ht="30" customHeight="1">
      <c r="A120" s="238"/>
      <c r="B120" s="649" t="s">
        <v>600</v>
      </c>
      <c r="C120" s="650"/>
      <c r="D120" s="651"/>
      <c r="E120" s="232">
        <v>536734.44</v>
      </c>
      <c r="F120" s="232">
        <f>SUM(G120:H120)</f>
        <v>27373.46</v>
      </c>
      <c r="G120" s="232">
        <v>27373.46</v>
      </c>
      <c r="H120" s="232">
        <v>0</v>
      </c>
      <c r="I120" s="192"/>
    </row>
    <row r="121" spans="1:9" ht="30" customHeight="1">
      <c r="A121" s="238"/>
      <c r="B121" s="557"/>
      <c r="C121" s="558"/>
      <c r="D121" s="559"/>
      <c r="E121" s="239"/>
      <c r="F121" s="239"/>
      <c r="G121" s="239"/>
      <c r="H121" s="206"/>
      <c r="I121" s="192"/>
    </row>
    <row r="122" spans="1:9" ht="30" customHeight="1">
      <c r="A122" s="238"/>
      <c r="B122" s="557"/>
      <c r="C122" s="558"/>
      <c r="D122" s="559"/>
      <c r="E122" s="239"/>
      <c r="F122" s="239"/>
      <c r="G122" s="239"/>
      <c r="H122" s="206"/>
      <c r="I122" s="192"/>
    </row>
    <row r="123" spans="1:9" ht="30.75" customHeight="1">
      <c r="A123" s="692" t="s">
        <v>571</v>
      </c>
      <c r="B123" s="692"/>
      <c r="C123" s="692"/>
      <c r="D123" s="692"/>
      <c r="E123" s="240" t="s">
        <v>562</v>
      </c>
      <c r="F123" s="241">
        <f>SUM(F100:F109)+F111+F114+F120</f>
        <v>1005151.5299999998</v>
      </c>
      <c r="G123" s="241">
        <f>SUM(G100:G109)+G111+G114+G120</f>
        <v>1005151.5299999998</v>
      </c>
      <c r="H123" s="242">
        <f>H99+H103+H109</f>
        <v>0</v>
      </c>
      <c r="I123" s="192"/>
    </row>
    <row r="124" spans="2:6" ht="16.5" customHeight="1">
      <c r="B124" s="243"/>
      <c r="C124" s="243"/>
      <c r="D124" s="243"/>
      <c r="E124" s="237"/>
      <c r="F124" s="192"/>
    </row>
    <row r="125" spans="2:9" ht="16.5" customHeight="1" hidden="1">
      <c r="B125" s="688" t="s">
        <v>855</v>
      </c>
      <c r="C125" s="688"/>
      <c r="D125" s="688"/>
      <c r="E125" s="688"/>
      <c r="F125" s="688"/>
      <c r="G125" s="688"/>
      <c r="H125" s="688"/>
      <c r="I125" s="688"/>
    </row>
    <row r="126" ht="16.5" customHeight="1" hidden="1"/>
    <row r="127" spans="1:9" ht="16.5" customHeight="1" hidden="1">
      <c r="A127" s="689" t="s">
        <v>545</v>
      </c>
      <c r="B127" s="687" t="s">
        <v>577</v>
      </c>
      <c r="C127" s="687"/>
      <c r="D127" s="687"/>
      <c r="E127" s="679" t="s">
        <v>578</v>
      </c>
      <c r="F127" s="687" t="s">
        <v>579</v>
      </c>
      <c r="G127" s="687"/>
      <c r="H127" s="687"/>
      <c r="I127" s="234"/>
    </row>
    <row r="128" spans="1:9" ht="16.5" customHeight="1" hidden="1">
      <c r="A128" s="690"/>
      <c r="B128" s="687"/>
      <c r="C128" s="687"/>
      <c r="D128" s="687"/>
      <c r="E128" s="680"/>
      <c r="F128" s="227" t="s">
        <v>580</v>
      </c>
      <c r="G128" s="227" t="s">
        <v>557</v>
      </c>
      <c r="H128" s="227" t="s">
        <v>563</v>
      </c>
      <c r="I128" s="228"/>
    </row>
    <row r="129" spans="1:9" ht="16.5" customHeight="1" hidden="1">
      <c r="A129" s="235">
        <v>1</v>
      </c>
      <c r="B129" s="691">
        <v>2</v>
      </c>
      <c r="C129" s="691"/>
      <c r="D129" s="691"/>
      <c r="E129" s="200">
        <v>3</v>
      </c>
      <c r="F129" s="200">
        <v>4</v>
      </c>
      <c r="G129" s="200">
        <v>5</v>
      </c>
      <c r="H129" s="200">
        <v>6</v>
      </c>
      <c r="I129" s="237"/>
    </row>
    <row r="130" spans="1:9" s="188" customFormat="1" ht="20.25" customHeight="1" hidden="1">
      <c r="A130" s="238">
        <v>1</v>
      </c>
      <c r="B130" s="649" t="s">
        <v>581</v>
      </c>
      <c r="C130" s="650"/>
      <c r="D130" s="651"/>
      <c r="E130" s="232" t="s">
        <v>562</v>
      </c>
      <c r="F130" s="232"/>
      <c r="G130" s="232"/>
      <c r="H130" s="232">
        <f>SUM(H131:H132)</f>
        <v>0</v>
      </c>
      <c r="I130" s="192"/>
    </row>
    <row r="131" spans="1:9" ht="31.5" customHeight="1" hidden="1">
      <c r="A131" s="238" t="s">
        <v>582</v>
      </c>
      <c r="B131" s="649" t="s">
        <v>583</v>
      </c>
      <c r="C131" s="650"/>
      <c r="D131" s="651"/>
      <c r="E131" s="232">
        <v>536734.44</v>
      </c>
      <c r="F131" s="232"/>
      <c r="G131" s="232"/>
      <c r="H131" s="232">
        <v>0</v>
      </c>
      <c r="I131" s="192"/>
    </row>
    <row r="132" spans="1:9" ht="16.5" customHeight="1" hidden="1">
      <c r="A132" s="238" t="s">
        <v>584</v>
      </c>
      <c r="B132" s="649" t="s">
        <v>585</v>
      </c>
      <c r="C132" s="650"/>
      <c r="D132" s="651"/>
      <c r="E132" s="206"/>
      <c r="F132" s="232"/>
      <c r="G132" s="232"/>
      <c r="H132" s="232"/>
      <c r="I132" s="192"/>
    </row>
    <row r="133" spans="1:9" ht="16.5" customHeight="1" hidden="1">
      <c r="A133" s="238" t="s">
        <v>586</v>
      </c>
      <c r="B133" s="649" t="s">
        <v>587</v>
      </c>
      <c r="C133" s="650"/>
      <c r="D133" s="651"/>
      <c r="E133" s="206"/>
      <c r="F133" s="232"/>
      <c r="G133" s="232"/>
      <c r="H133" s="232"/>
      <c r="I133" s="192"/>
    </row>
    <row r="134" spans="1:9" ht="30" customHeight="1" hidden="1">
      <c r="A134" s="238" t="s">
        <v>588</v>
      </c>
      <c r="B134" s="649" t="s">
        <v>589</v>
      </c>
      <c r="C134" s="650"/>
      <c r="D134" s="651"/>
      <c r="E134" s="232" t="s">
        <v>562</v>
      </c>
      <c r="F134" s="232"/>
      <c r="G134" s="232"/>
      <c r="H134" s="232">
        <f>SUM(H135+H137)</f>
        <v>0</v>
      </c>
      <c r="I134" s="192"/>
    </row>
    <row r="135" spans="1:9" ht="16.5" customHeight="1" hidden="1">
      <c r="A135" s="238" t="s">
        <v>590</v>
      </c>
      <c r="B135" s="652" t="s">
        <v>591</v>
      </c>
      <c r="C135" s="653"/>
      <c r="D135" s="654"/>
      <c r="E135" s="232">
        <v>536734.44</v>
      </c>
      <c r="F135" s="232"/>
      <c r="G135" s="232"/>
      <c r="H135" s="232">
        <v>0</v>
      </c>
      <c r="I135" s="192"/>
    </row>
    <row r="136" spans="1:9" ht="31.5" customHeight="1" hidden="1">
      <c r="A136" s="238" t="s">
        <v>592</v>
      </c>
      <c r="B136" s="649" t="s">
        <v>593</v>
      </c>
      <c r="C136" s="650"/>
      <c r="D136" s="651"/>
      <c r="E136" s="206"/>
      <c r="F136" s="232"/>
      <c r="G136" s="232"/>
      <c r="H136" s="232"/>
      <c r="I136" s="192"/>
    </row>
    <row r="137" spans="1:9" ht="31.5" customHeight="1" hidden="1">
      <c r="A137" s="238" t="s">
        <v>594</v>
      </c>
      <c r="B137" s="649" t="s">
        <v>595</v>
      </c>
      <c r="C137" s="650"/>
      <c r="D137" s="651"/>
      <c r="E137" s="232">
        <v>536734.44</v>
      </c>
      <c r="F137" s="232"/>
      <c r="G137" s="232"/>
      <c r="H137" s="232">
        <v>0</v>
      </c>
      <c r="I137" s="192"/>
    </row>
    <row r="138" spans="1:9" ht="31.5" customHeight="1" hidden="1">
      <c r="A138" s="238" t="s">
        <v>596</v>
      </c>
      <c r="B138" s="649" t="s">
        <v>597</v>
      </c>
      <c r="C138" s="650"/>
      <c r="D138" s="651"/>
      <c r="E138" s="206"/>
      <c r="F138" s="232"/>
      <c r="G138" s="232"/>
      <c r="H138" s="232"/>
      <c r="I138" s="192"/>
    </row>
    <row r="139" spans="1:9" ht="30" customHeight="1" hidden="1">
      <c r="A139" s="238" t="s">
        <v>598</v>
      </c>
      <c r="B139" s="649" t="s">
        <v>597</v>
      </c>
      <c r="C139" s="650"/>
      <c r="D139" s="651"/>
      <c r="E139" s="206"/>
      <c r="F139" s="232"/>
      <c r="G139" s="232"/>
      <c r="H139" s="232"/>
      <c r="I139" s="192"/>
    </row>
    <row r="140" spans="1:9" ht="31.5" customHeight="1" hidden="1">
      <c r="A140" s="238" t="s">
        <v>599</v>
      </c>
      <c r="B140" s="649" t="s">
        <v>600</v>
      </c>
      <c r="C140" s="650"/>
      <c r="D140" s="651"/>
      <c r="E140" s="232">
        <v>536734.44</v>
      </c>
      <c r="F140" s="232"/>
      <c r="G140" s="232"/>
      <c r="H140" s="232">
        <v>0</v>
      </c>
      <c r="I140" s="192"/>
    </row>
    <row r="141" spans="1:9" ht="16.5" customHeight="1" hidden="1">
      <c r="A141" s="692" t="s">
        <v>571</v>
      </c>
      <c r="B141" s="692"/>
      <c r="C141" s="692"/>
      <c r="D141" s="692"/>
      <c r="E141" s="200" t="s">
        <v>562</v>
      </c>
      <c r="F141" s="363">
        <f>F130+F134+F140</f>
        <v>0</v>
      </c>
      <c r="G141" s="363">
        <f>G130+G134+G140</f>
        <v>0</v>
      </c>
      <c r="H141" s="363">
        <f>H130+H134+H140</f>
        <v>0</v>
      </c>
      <c r="I141" s="192"/>
    </row>
    <row r="142" spans="2:6" ht="16.5" customHeight="1">
      <c r="B142" s="243"/>
      <c r="C142" s="243"/>
      <c r="D142" s="243"/>
      <c r="E142" s="237"/>
      <c r="F142" s="192"/>
    </row>
    <row r="143" spans="2:6" ht="16.5" customHeight="1">
      <c r="B143" s="243"/>
      <c r="C143" s="243"/>
      <c r="D143" s="243"/>
      <c r="E143" s="237"/>
      <c r="F143" s="192"/>
    </row>
    <row r="144" spans="2:6" ht="16.5" customHeight="1">
      <c r="B144" s="243"/>
      <c r="C144" s="243"/>
      <c r="D144" s="243"/>
      <c r="E144" s="237"/>
      <c r="F144" s="192"/>
    </row>
    <row r="145" spans="1:11" ht="99" customHeight="1">
      <c r="A145" s="693" t="s">
        <v>601</v>
      </c>
      <c r="B145" s="693"/>
      <c r="C145" s="693"/>
      <c r="D145" s="693"/>
      <c r="E145" s="693"/>
      <c r="F145" s="693"/>
      <c r="G145" s="693"/>
      <c r="H145" s="693"/>
      <c r="I145" s="693"/>
      <c r="J145" s="693"/>
      <c r="K145" s="693"/>
    </row>
    <row r="146" spans="2:6" ht="21" customHeight="1">
      <c r="B146" s="694"/>
      <c r="C146" s="694"/>
      <c r="D146" s="694"/>
      <c r="E146" s="694"/>
      <c r="F146" s="694"/>
    </row>
    <row r="147" spans="1:11" s="245" customFormat="1" ht="27" customHeight="1">
      <c r="A147" s="695" t="s">
        <v>602</v>
      </c>
      <c r="B147" s="695"/>
      <c r="C147" s="695"/>
      <c r="D147" s="695"/>
      <c r="E147" s="695"/>
      <c r="F147" s="695"/>
      <c r="G147" s="695"/>
      <c r="H147" s="695"/>
      <c r="I147" s="695"/>
      <c r="J147" s="695"/>
      <c r="K147" s="695"/>
    </row>
    <row r="148" spans="1:11" s="245" customFormat="1" ht="16.5" customHeight="1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</row>
    <row r="149" spans="2:31" ht="15.75" customHeight="1">
      <c r="B149" s="193" t="s">
        <v>603</v>
      </c>
      <c r="C149" s="193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</row>
    <row r="150" spans="2:31" ht="15.75" customHeight="1">
      <c r="B150" s="186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</row>
    <row r="151" spans="2:31" ht="15.75" customHeight="1">
      <c r="B151" s="193" t="s">
        <v>542</v>
      </c>
      <c r="C151" s="193"/>
      <c r="D151" s="193" t="s">
        <v>702</v>
      </c>
      <c r="E151" s="193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</row>
    <row r="152" spans="2:31" ht="15.75" customHeight="1">
      <c r="B152" s="186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</row>
    <row r="153" spans="1:9" s="245" customFormat="1" ht="15.75" customHeight="1">
      <c r="A153" s="689" t="s">
        <v>545</v>
      </c>
      <c r="B153" s="696" t="s">
        <v>1</v>
      </c>
      <c r="C153" s="696"/>
      <c r="D153" s="696"/>
      <c r="E153" s="696" t="s">
        <v>605</v>
      </c>
      <c r="F153" s="696" t="s">
        <v>606</v>
      </c>
      <c r="G153" s="681" t="s">
        <v>579</v>
      </c>
      <c r="H153" s="682"/>
      <c r="I153" s="683"/>
    </row>
    <row r="154" spans="1:49" s="245" customFormat="1" ht="51" customHeight="1">
      <c r="A154" s="690"/>
      <c r="B154" s="696"/>
      <c r="C154" s="696"/>
      <c r="D154" s="696"/>
      <c r="E154" s="696"/>
      <c r="F154" s="696"/>
      <c r="G154" s="227" t="s">
        <v>607</v>
      </c>
      <c r="H154" s="225" t="s">
        <v>557</v>
      </c>
      <c r="I154" s="227" t="s">
        <v>563</v>
      </c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</row>
    <row r="155" spans="1:49" s="245" customFormat="1" ht="15.75">
      <c r="A155" s="248">
        <v>1</v>
      </c>
      <c r="B155" s="697">
        <v>2</v>
      </c>
      <c r="C155" s="697"/>
      <c r="D155" s="697"/>
      <c r="E155" s="248">
        <v>3</v>
      </c>
      <c r="F155" s="249">
        <v>4</v>
      </c>
      <c r="G155" s="250">
        <v>4</v>
      </c>
      <c r="H155" s="251">
        <v>5</v>
      </c>
      <c r="I155" s="250">
        <v>6</v>
      </c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</row>
    <row r="156" spans="1:49" s="245" customFormat="1" ht="32.25" customHeight="1">
      <c r="A156" s="252" t="s">
        <v>608</v>
      </c>
      <c r="B156" s="698" t="s">
        <v>703</v>
      </c>
      <c r="C156" s="698"/>
      <c r="D156" s="698"/>
      <c r="E156" s="253">
        <v>62.51</v>
      </c>
      <c r="F156" s="338">
        <v>7187.4897</v>
      </c>
      <c r="G156" s="339">
        <f>SUM(H156:J156)</f>
        <v>517204.981147</v>
      </c>
      <c r="H156" s="339">
        <f>E156*F156+67915</f>
        <v>517204.981147</v>
      </c>
      <c r="I156" s="339">
        <v>0</v>
      </c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</row>
    <row r="157" spans="1:49" s="245" customFormat="1" ht="30.75" customHeight="1">
      <c r="A157" s="252" t="s">
        <v>588</v>
      </c>
      <c r="B157" s="698" t="s">
        <v>704</v>
      </c>
      <c r="C157" s="698"/>
      <c r="D157" s="698"/>
      <c r="E157" s="253">
        <v>62.51</v>
      </c>
      <c r="F157" s="338">
        <v>1991.8573</v>
      </c>
      <c r="G157" s="339">
        <f aca="true" t="shared" si="0" ref="G157:G162">SUM(H157:J157)</f>
        <v>182055.91982299997</v>
      </c>
      <c r="H157" s="339">
        <f>E157*F157+57544.92</f>
        <v>182055.91982299997</v>
      </c>
      <c r="I157" s="339">
        <v>0</v>
      </c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</row>
    <row r="158" spans="1:49" s="245" customFormat="1" ht="35.25" customHeight="1">
      <c r="A158" s="252" t="s">
        <v>599</v>
      </c>
      <c r="B158" s="698" t="s">
        <v>705</v>
      </c>
      <c r="C158" s="698"/>
      <c r="D158" s="698"/>
      <c r="E158" s="253">
        <v>2759</v>
      </c>
      <c r="F158" s="338">
        <v>3</v>
      </c>
      <c r="G158" s="339">
        <f t="shared" si="0"/>
        <v>16501</v>
      </c>
      <c r="H158" s="339">
        <f>E158*F158+340+7884</f>
        <v>16501</v>
      </c>
      <c r="I158" s="339">
        <v>0</v>
      </c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</row>
    <row r="159" spans="1:49" s="245" customFormat="1" ht="31.5" customHeight="1">
      <c r="A159" s="252" t="s">
        <v>706</v>
      </c>
      <c r="B159" s="698" t="s">
        <v>707</v>
      </c>
      <c r="C159" s="698"/>
      <c r="D159" s="698"/>
      <c r="E159" s="253">
        <v>2735</v>
      </c>
      <c r="F159" s="340">
        <v>8</v>
      </c>
      <c r="G159" s="339">
        <f t="shared" si="0"/>
        <v>27858</v>
      </c>
      <c r="H159" s="339">
        <f>E159*F159+5978</f>
        <v>27858</v>
      </c>
      <c r="I159" s="339">
        <v>0</v>
      </c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</row>
    <row r="160" spans="1:49" s="245" customFormat="1" ht="36.75" customHeight="1">
      <c r="A160" s="252" t="s">
        <v>708</v>
      </c>
      <c r="B160" s="698" t="s">
        <v>241</v>
      </c>
      <c r="C160" s="698"/>
      <c r="D160" s="698"/>
      <c r="E160" s="253">
        <v>62.51</v>
      </c>
      <c r="F160" s="338">
        <v>14026.1878</v>
      </c>
      <c r="G160" s="339">
        <f t="shared" si="0"/>
        <v>982309.9993779999</v>
      </c>
      <c r="H160" s="339">
        <v>0</v>
      </c>
      <c r="I160" s="339">
        <f>E160*F160+82808.25+22724.75</f>
        <v>982309.9993779999</v>
      </c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</row>
    <row r="161" spans="1:49" s="245" customFormat="1" ht="36.75" customHeight="1">
      <c r="A161" s="252" t="s">
        <v>709</v>
      </c>
      <c r="B161" s="698" t="s">
        <v>269</v>
      </c>
      <c r="C161" s="698"/>
      <c r="D161" s="698"/>
      <c r="E161" s="253">
        <v>106.86</v>
      </c>
      <c r="F161" s="340">
        <v>0</v>
      </c>
      <c r="G161" s="339">
        <f t="shared" si="0"/>
        <v>0</v>
      </c>
      <c r="H161" s="339">
        <v>0</v>
      </c>
      <c r="I161" s="339">
        <v>0</v>
      </c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</row>
    <row r="162" spans="1:49" s="245" customFormat="1" ht="36.75" customHeight="1">
      <c r="A162" s="252" t="s">
        <v>710</v>
      </c>
      <c r="B162" s="670"/>
      <c r="C162" s="671"/>
      <c r="D162" s="750"/>
      <c r="E162" s="253"/>
      <c r="F162" s="338">
        <v>0</v>
      </c>
      <c r="G162" s="339">
        <f t="shared" si="0"/>
        <v>0</v>
      </c>
      <c r="H162" s="339">
        <v>0</v>
      </c>
      <c r="I162" s="339">
        <v>0</v>
      </c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</row>
    <row r="163" spans="1:49" s="245" customFormat="1" ht="36.75" customHeight="1">
      <c r="A163" s="252" t="s">
        <v>711</v>
      </c>
      <c r="B163" s="670"/>
      <c r="C163" s="671"/>
      <c r="D163" s="750"/>
      <c r="E163" s="253"/>
      <c r="F163" s="254"/>
      <c r="G163" s="232"/>
      <c r="H163" s="233"/>
      <c r="I163" s="23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</row>
    <row r="164" spans="1:49" s="245" customFormat="1" ht="36.75" customHeight="1">
      <c r="A164" s="252" t="s">
        <v>712</v>
      </c>
      <c r="B164" s="670"/>
      <c r="C164" s="671"/>
      <c r="D164" s="750"/>
      <c r="E164" s="253"/>
      <c r="F164" s="254"/>
      <c r="G164" s="232"/>
      <c r="H164" s="233"/>
      <c r="I164" s="23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</row>
    <row r="165" spans="1:49" s="343" customFormat="1" ht="15.75">
      <c r="A165" s="751" t="s">
        <v>561</v>
      </c>
      <c r="B165" s="752"/>
      <c r="C165" s="752"/>
      <c r="D165" s="753"/>
      <c r="E165" s="218" t="s">
        <v>562</v>
      </c>
      <c r="F165" s="341" t="s">
        <v>562</v>
      </c>
      <c r="G165" s="219"/>
      <c r="H165" s="342">
        <f>SUM(H156:H164)</f>
        <v>743619.90097</v>
      </c>
      <c r="I165" s="290">
        <f>SUM(I156:I164)</f>
        <v>982309.9993779999</v>
      </c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</row>
    <row r="166" spans="6:49" s="245" customFormat="1" ht="15.75"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</row>
    <row r="167" spans="1:11" s="245" customFormat="1" ht="15.75" hidden="1">
      <c r="A167" s="695" t="s">
        <v>916</v>
      </c>
      <c r="B167" s="695"/>
      <c r="C167" s="695"/>
      <c r="D167" s="695"/>
      <c r="E167" s="695"/>
      <c r="F167" s="695"/>
      <c r="G167" s="695"/>
      <c r="H167" s="695"/>
      <c r="I167" s="695"/>
      <c r="J167" s="695"/>
      <c r="K167" s="695"/>
    </row>
    <row r="168" spans="1:11" s="245" customFormat="1" ht="15.75" hidden="1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</row>
    <row r="169" spans="2:31" ht="15.75" hidden="1">
      <c r="B169" s="193" t="s">
        <v>603</v>
      </c>
      <c r="C169" s="193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</row>
    <row r="170" spans="2:31" ht="15.75" hidden="1">
      <c r="B170" s="186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</row>
    <row r="171" spans="2:31" ht="15.75" hidden="1">
      <c r="B171" s="193" t="s">
        <v>542</v>
      </c>
      <c r="C171" s="193"/>
      <c r="D171" s="193" t="s">
        <v>702</v>
      </c>
      <c r="E171" s="193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</row>
    <row r="172" spans="2:31" ht="15.75" hidden="1">
      <c r="B172" s="186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</row>
    <row r="173" spans="1:9" s="245" customFormat="1" ht="15.75" hidden="1">
      <c r="A173" s="689" t="s">
        <v>545</v>
      </c>
      <c r="B173" s="696" t="s">
        <v>1</v>
      </c>
      <c r="C173" s="696"/>
      <c r="D173" s="696"/>
      <c r="E173" s="696" t="s">
        <v>605</v>
      </c>
      <c r="F173" s="696" t="s">
        <v>606</v>
      </c>
      <c r="G173" s="681" t="s">
        <v>579</v>
      </c>
      <c r="H173" s="682"/>
      <c r="I173" s="683"/>
    </row>
    <row r="174" spans="1:49" s="245" customFormat="1" ht="47.25" hidden="1">
      <c r="A174" s="690"/>
      <c r="B174" s="696"/>
      <c r="C174" s="696"/>
      <c r="D174" s="696"/>
      <c r="E174" s="696"/>
      <c r="F174" s="696"/>
      <c r="G174" s="227" t="s">
        <v>607</v>
      </c>
      <c r="H174" s="225" t="s">
        <v>557</v>
      </c>
      <c r="I174" s="227" t="s">
        <v>563</v>
      </c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</row>
    <row r="175" spans="1:49" s="245" customFormat="1" ht="15.75" hidden="1">
      <c r="A175" s="248">
        <v>1</v>
      </c>
      <c r="B175" s="697">
        <v>2</v>
      </c>
      <c r="C175" s="697"/>
      <c r="D175" s="697"/>
      <c r="E175" s="248">
        <v>3</v>
      </c>
      <c r="F175" s="249">
        <v>4</v>
      </c>
      <c r="G175" s="250">
        <v>4</v>
      </c>
      <c r="H175" s="251">
        <v>5</v>
      </c>
      <c r="I175" s="250">
        <v>6</v>
      </c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</row>
    <row r="176" spans="1:49" s="245" customFormat="1" ht="36" customHeight="1" hidden="1">
      <c r="A176" s="252" t="s">
        <v>608</v>
      </c>
      <c r="B176" s="698" t="s">
        <v>703</v>
      </c>
      <c r="C176" s="698"/>
      <c r="D176" s="698"/>
      <c r="E176" s="253">
        <v>62.51</v>
      </c>
      <c r="F176" s="266">
        <v>9</v>
      </c>
      <c r="G176" s="232">
        <f>SUM(H176:I176)</f>
        <v>0</v>
      </c>
      <c r="H176" s="233"/>
      <c r="I176" s="23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</row>
    <row r="177" spans="1:49" s="245" customFormat="1" ht="29.25" customHeight="1" hidden="1">
      <c r="A177" s="252" t="s">
        <v>588</v>
      </c>
      <c r="B177" s="698" t="s">
        <v>704</v>
      </c>
      <c r="C177" s="698"/>
      <c r="D177" s="698"/>
      <c r="E177" s="253">
        <v>62.51</v>
      </c>
      <c r="F177" s="266">
        <v>9</v>
      </c>
      <c r="G177" s="232">
        <f aca="true" t="shared" si="1" ref="G177:G183">SUM(H177:I177)</f>
        <v>0</v>
      </c>
      <c r="H177" s="233"/>
      <c r="I177" s="23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</row>
    <row r="178" spans="1:49" s="245" customFormat="1" ht="28.5" customHeight="1" hidden="1">
      <c r="A178" s="252" t="s">
        <v>599</v>
      </c>
      <c r="B178" s="698" t="s">
        <v>705</v>
      </c>
      <c r="C178" s="698"/>
      <c r="D178" s="698"/>
      <c r="E178" s="253">
        <v>2628</v>
      </c>
      <c r="F178" s="266">
        <v>3</v>
      </c>
      <c r="G178" s="232">
        <f t="shared" si="1"/>
        <v>0</v>
      </c>
      <c r="H178" s="233"/>
      <c r="I178" s="23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</row>
    <row r="179" spans="1:49" s="245" customFormat="1" ht="28.5" customHeight="1" hidden="1">
      <c r="A179" s="252" t="s">
        <v>706</v>
      </c>
      <c r="B179" s="698" t="s">
        <v>707</v>
      </c>
      <c r="C179" s="698"/>
      <c r="D179" s="698"/>
      <c r="E179" s="253">
        <v>2605</v>
      </c>
      <c r="F179" s="266">
        <v>2</v>
      </c>
      <c r="G179" s="232">
        <f t="shared" si="1"/>
        <v>0</v>
      </c>
      <c r="H179" s="233"/>
      <c r="I179" s="23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</row>
    <row r="180" spans="1:49" s="245" customFormat="1" ht="29.25" customHeight="1" hidden="1">
      <c r="A180" s="252" t="s">
        <v>708</v>
      </c>
      <c r="B180" s="698" t="s">
        <v>241</v>
      </c>
      <c r="C180" s="698"/>
      <c r="D180" s="698"/>
      <c r="E180" s="253">
        <v>62.51</v>
      </c>
      <c r="F180" s="266">
        <v>9</v>
      </c>
      <c r="G180" s="232">
        <f t="shared" si="1"/>
        <v>0</v>
      </c>
      <c r="H180" s="233"/>
      <c r="I180" s="23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</row>
    <row r="181" spans="1:49" s="245" customFormat="1" ht="27" customHeight="1" hidden="1">
      <c r="A181" s="252" t="s">
        <v>709</v>
      </c>
      <c r="B181" s="698" t="s">
        <v>917</v>
      </c>
      <c r="C181" s="698"/>
      <c r="D181" s="698"/>
      <c r="E181" s="253">
        <v>62.51</v>
      </c>
      <c r="F181" s="266"/>
      <c r="G181" s="232">
        <f t="shared" si="1"/>
        <v>0</v>
      </c>
      <c r="H181" s="233"/>
      <c r="I181" s="23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</row>
    <row r="182" spans="1:49" s="245" customFormat="1" ht="28.5" customHeight="1" hidden="1">
      <c r="A182" s="252" t="s">
        <v>710</v>
      </c>
      <c r="B182" s="754" t="s">
        <v>918</v>
      </c>
      <c r="C182" s="755"/>
      <c r="D182" s="756"/>
      <c r="E182" s="253"/>
      <c r="F182" s="266"/>
      <c r="G182" s="232">
        <f t="shared" si="1"/>
        <v>0</v>
      </c>
      <c r="H182" s="233"/>
      <c r="I182" s="23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</row>
    <row r="183" spans="1:49" s="245" customFormat="1" ht="28.5" customHeight="1" hidden="1">
      <c r="A183" s="252" t="s">
        <v>711</v>
      </c>
      <c r="B183" s="698" t="s">
        <v>269</v>
      </c>
      <c r="C183" s="698"/>
      <c r="D183" s="698"/>
      <c r="E183" s="253">
        <v>106.86</v>
      </c>
      <c r="F183" s="254"/>
      <c r="G183" s="232">
        <f t="shared" si="1"/>
        <v>0</v>
      </c>
      <c r="H183" s="233">
        <v>0</v>
      </c>
      <c r="I183" s="232">
        <v>0</v>
      </c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</row>
    <row r="184" spans="1:49" s="245" customFormat="1" ht="18.75" hidden="1">
      <c r="A184" s="723" t="s">
        <v>561</v>
      </c>
      <c r="B184" s="757"/>
      <c r="C184" s="757"/>
      <c r="D184" s="724"/>
      <c r="E184" s="253" t="s">
        <v>562</v>
      </c>
      <c r="F184" s="255" t="s">
        <v>562</v>
      </c>
      <c r="G184" s="537">
        <f>SUM(G176:G183)</f>
        <v>0</v>
      </c>
      <c r="H184" s="538">
        <f>SUM(H176:H183)</f>
        <v>0</v>
      </c>
      <c r="I184" s="537">
        <f>SUM(I176:I183)</f>
        <v>0</v>
      </c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256"/>
      <c r="AV184" s="256"/>
      <c r="AW184" s="256"/>
    </row>
    <row r="185" spans="6:49" s="245" customFormat="1" ht="15.75"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7"/>
      <c r="AV185" s="257"/>
      <c r="AW185" s="257"/>
    </row>
    <row r="186" spans="6:49" s="245" customFormat="1" ht="15.75"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57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7"/>
      <c r="AV186" s="257"/>
      <c r="AW186" s="257"/>
    </row>
    <row r="187" spans="6:49" s="245" customFormat="1" ht="15.75"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7"/>
      <c r="AK187" s="257"/>
      <c r="AL187" s="257"/>
      <c r="AM187" s="257"/>
      <c r="AN187" s="257"/>
      <c r="AO187" s="257"/>
      <c r="AP187" s="257"/>
      <c r="AQ187" s="257"/>
      <c r="AR187" s="257"/>
      <c r="AS187" s="257"/>
      <c r="AT187" s="257"/>
      <c r="AU187" s="257"/>
      <c r="AV187" s="257"/>
      <c r="AW187" s="257"/>
    </row>
    <row r="188" spans="6:49" s="245" customFormat="1" ht="15.75"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</row>
    <row r="189" spans="6:49" s="245" customFormat="1" ht="15.75"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</row>
    <row r="190" spans="1:49" s="245" customFormat="1" ht="69" customHeight="1">
      <c r="A190" s="702" t="s">
        <v>609</v>
      </c>
      <c r="B190" s="702"/>
      <c r="C190" s="702"/>
      <c r="D190" s="702"/>
      <c r="E190" s="702"/>
      <c r="F190" s="702"/>
      <c r="G190" s="702"/>
      <c r="H190" s="702"/>
      <c r="I190" s="702"/>
      <c r="J190" s="702"/>
      <c r="K190" s="702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57"/>
      <c r="AM190" s="257"/>
      <c r="AN190" s="257"/>
      <c r="AO190" s="257"/>
      <c r="AP190" s="257"/>
      <c r="AQ190" s="257"/>
      <c r="AR190" s="257"/>
      <c r="AS190" s="257"/>
      <c r="AT190" s="257"/>
      <c r="AU190" s="257"/>
      <c r="AV190" s="257"/>
      <c r="AW190" s="257"/>
    </row>
    <row r="191" s="245" customFormat="1" ht="15.75"/>
    <row r="192" spans="1:11" ht="15.75" customHeight="1">
      <c r="A192" s="695" t="s">
        <v>610</v>
      </c>
      <c r="B192" s="695"/>
      <c r="C192" s="695"/>
      <c r="D192" s="695"/>
      <c r="E192" s="695"/>
      <c r="F192" s="695"/>
      <c r="G192" s="695"/>
      <c r="H192" s="695"/>
      <c r="I192" s="695"/>
      <c r="J192" s="695"/>
      <c r="K192" s="695"/>
    </row>
    <row r="193" spans="1:11" ht="15.75" customHeight="1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</row>
    <row r="194" spans="2:31" ht="15.75" customHeight="1">
      <c r="B194" s="193" t="s">
        <v>611</v>
      </c>
      <c r="C194" s="193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</row>
    <row r="195" spans="2:31" ht="15.75" customHeight="1">
      <c r="B195" s="186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</row>
    <row r="196" spans="2:31" ht="15.75" customHeight="1">
      <c r="B196" s="193" t="s">
        <v>542</v>
      </c>
      <c r="C196" s="193"/>
      <c r="D196" s="193" t="s">
        <v>702</v>
      </c>
      <c r="E196" s="193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</row>
    <row r="197" spans="1:4" ht="15.75" customHeight="1">
      <c r="A197" s="194"/>
      <c r="B197" s="194"/>
      <c r="C197" s="194"/>
      <c r="D197" s="194"/>
    </row>
    <row r="198" spans="1:8" ht="15.75" customHeight="1">
      <c r="A198" s="689" t="s">
        <v>545</v>
      </c>
      <c r="B198" s="687" t="s">
        <v>612</v>
      </c>
      <c r="C198" s="687"/>
      <c r="D198" s="679" t="s">
        <v>613</v>
      </c>
      <c r="E198" s="679" t="s">
        <v>614</v>
      </c>
      <c r="F198" s="703" t="s">
        <v>579</v>
      </c>
      <c r="G198" s="704"/>
      <c r="H198" s="705"/>
    </row>
    <row r="199" spans="1:8" ht="51.75" customHeight="1">
      <c r="A199" s="690"/>
      <c r="B199" s="687"/>
      <c r="C199" s="687"/>
      <c r="D199" s="680"/>
      <c r="E199" s="680"/>
      <c r="F199" s="258" t="s">
        <v>615</v>
      </c>
      <c r="G199" s="225" t="s">
        <v>557</v>
      </c>
      <c r="H199" s="227" t="s">
        <v>563</v>
      </c>
    </row>
    <row r="200" spans="1:8" ht="15.75">
      <c r="A200" s="259">
        <v>1</v>
      </c>
      <c r="B200" s="706">
        <v>2</v>
      </c>
      <c r="C200" s="706"/>
      <c r="D200" s="259">
        <v>3</v>
      </c>
      <c r="E200" s="259">
        <v>4</v>
      </c>
      <c r="F200" s="259">
        <v>5</v>
      </c>
      <c r="G200" s="260">
        <v>6</v>
      </c>
      <c r="H200" s="259">
        <v>7</v>
      </c>
    </row>
    <row r="201" spans="1:8" ht="15.75">
      <c r="A201" s="200">
        <v>1</v>
      </c>
      <c r="B201" s="707"/>
      <c r="C201" s="707"/>
      <c r="D201" s="263"/>
      <c r="E201" s="263"/>
      <c r="F201" s="232"/>
      <c r="G201" s="233"/>
      <c r="H201" s="232"/>
    </row>
    <row r="202" spans="1:8" ht="15.75">
      <c r="A202" s="200">
        <v>2</v>
      </c>
      <c r="B202" s="707"/>
      <c r="C202" s="707"/>
      <c r="D202" s="263"/>
      <c r="E202" s="263"/>
      <c r="F202" s="232"/>
      <c r="G202" s="233"/>
      <c r="H202" s="232"/>
    </row>
    <row r="203" spans="1:8" ht="15.75">
      <c r="A203" s="709" t="s">
        <v>561</v>
      </c>
      <c r="B203" s="710"/>
      <c r="C203" s="711"/>
      <c r="D203" s="275"/>
      <c r="E203" s="266" t="s">
        <v>562</v>
      </c>
      <c r="F203" s="206"/>
      <c r="G203" s="233"/>
      <c r="H203" s="232"/>
    </row>
    <row r="204" spans="1:7" ht="15.75">
      <c r="A204" s="192"/>
      <c r="B204" s="192"/>
      <c r="C204" s="192"/>
      <c r="D204" s="192"/>
      <c r="E204" s="192"/>
      <c r="F204" s="192"/>
      <c r="G204" s="192"/>
    </row>
    <row r="205" spans="1:11" ht="49.5" customHeight="1">
      <c r="A205" s="712" t="s">
        <v>619</v>
      </c>
      <c r="B205" s="712"/>
      <c r="C205" s="712"/>
      <c r="D205" s="712"/>
      <c r="E205" s="712"/>
      <c r="F205" s="712"/>
      <c r="G205" s="712"/>
      <c r="H205" s="712"/>
      <c r="I205" s="712"/>
      <c r="J205" s="712"/>
      <c r="K205" s="712"/>
    </row>
    <row r="206" spans="1:7" ht="15.75">
      <c r="A206" s="192"/>
      <c r="B206" s="192"/>
      <c r="C206" s="192"/>
      <c r="D206" s="192"/>
      <c r="E206" s="192"/>
      <c r="F206" s="192"/>
      <c r="G206" s="192"/>
    </row>
    <row r="207" spans="1:11" ht="15.75">
      <c r="A207" s="713" t="s">
        <v>620</v>
      </c>
      <c r="B207" s="713"/>
      <c r="C207" s="713"/>
      <c r="D207" s="713"/>
      <c r="E207" s="713"/>
      <c r="F207" s="713"/>
      <c r="G207" s="713"/>
      <c r="H207" s="713"/>
      <c r="I207" s="713"/>
      <c r="J207" s="713"/>
      <c r="K207" s="713"/>
    </row>
    <row r="208" spans="1:7" ht="17.25" customHeight="1">
      <c r="A208" s="714" t="s">
        <v>621</v>
      </c>
      <c r="B208" s="714"/>
      <c r="C208" s="714"/>
      <c r="D208" s="714"/>
      <c r="E208" s="714"/>
      <c r="F208" s="192"/>
      <c r="G208" s="192"/>
    </row>
    <row r="209" spans="2:31" ht="15.75" customHeight="1">
      <c r="B209" s="186" t="s">
        <v>713</v>
      </c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</row>
    <row r="210" spans="2:31" ht="15.75" customHeight="1">
      <c r="B210" s="186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</row>
    <row r="211" spans="2:31" ht="15.75" customHeight="1">
      <c r="B211" s="186" t="s">
        <v>714</v>
      </c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</row>
    <row r="212" spans="1:7" ht="17.25" customHeight="1">
      <c r="A212" s="268"/>
      <c r="B212" s="268"/>
      <c r="C212" s="268"/>
      <c r="D212" s="268"/>
      <c r="E212" s="268"/>
      <c r="F212" s="192"/>
      <c r="G212" s="192"/>
    </row>
    <row r="213" spans="1:8" ht="15.75">
      <c r="A213" s="689" t="s">
        <v>545</v>
      </c>
      <c r="B213" s="715" t="s">
        <v>1</v>
      </c>
      <c r="C213" s="715" t="s">
        <v>605</v>
      </c>
      <c r="D213" s="715" t="s">
        <v>606</v>
      </c>
      <c r="E213" s="716" t="s">
        <v>579</v>
      </c>
      <c r="F213" s="717"/>
      <c r="G213" s="718"/>
      <c r="H213" s="257"/>
    </row>
    <row r="214" spans="1:50" ht="48.75" customHeight="1">
      <c r="A214" s="690"/>
      <c r="B214" s="715"/>
      <c r="C214" s="715"/>
      <c r="D214" s="715"/>
      <c r="E214" s="270" t="s">
        <v>607</v>
      </c>
      <c r="F214" s="271" t="s">
        <v>557</v>
      </c>
      <c r="G214" s="236" t="s">
        <v>563</v>
      </c>
      <c r="H214" s="272"/>
      <c r="I214" s="273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192"/>
    </row>
    <row r="215" spans="1:50" ht="14.25" customHeight="1">
      <c r="A215" s="229">
        <v>1</v>
      </c>
      <c r="B215" s="274">
        <v>2</v>
      </c>
      <c r="C215" s="274">
        <v>3</v>
      </c>
      <c r="D215" s="274">
        <v>4</v>
      </c>
      <c r="E215" s="274">
        <v>5</v>
      </c>
      <c r="F215" s="230">
        <v>6</v>
      </c>
      <c r="G215" s="229">
        <v>7</v>
      </c>
      <c r="H215" s="231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192"/>
    </row>
    <row r="216" spans="1:50" ht="15.75">
      <c r="A216" s="200"/>
      <c r="B216" s="270"/>
      <c r="C216" s="275"/>
      <c r="D216" s="275"/>
      <c r="E216" s="275"/>
      <c r="F216" s="255"/>
      <c r="G216" s="275"/>
      <c r="H216" s="276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47"/>
      <c r="X216" s="247"/>
      <c r="Y216" s="247"/>
      <c r="Z216" s="247"/>
      <c r="AA216" s="247"/>
      <c r="AB216" s="247"/>
      <c r="AC216" s="247"/>
      <c r="AD216" s="247"/>
      <c r="AE216" s="247"/>
      <c r="AF216" s="247"/>
      <c r="AG216" s="247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192"/>
    </row>
    <row r="217" spans="1:50" ht="15.75">
      <c r="A217" s="200"/>
      <c r="B217" s="270"/>
      <c r="C217" s="275"/>
      <c r="D217" s="275"/>
      <c r="E217" s="275"/>
      <c r="F217" s="255"/>
      <c r="G217" s="275"/>
      <c r="H217" s="276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47"/>
      <c r="X217" s="247"/>
      <c r="Y217" s="247"/>
      <c r="Z217" s="247"/>
      <c r="AA217" s="247"/>
      <c r="AB217" s="247"/>
      <c r="AC217" s="247"/>
      <c r="AD217" s="247"/>
      <c r="AE217" s="247"/>
      <c r="AF217" s="247"/>
      <c r="AG217" s="247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247"/>
      <c r="AR217" s="247"/>
      <c r="AS217" s="247"/>
      <c r="AT217" s="247"/>
      <c r="AU217" s="247"/>
      <c r="AV217" s="247"/>
      <c r="AW217" s="247"/>
      <c r="AX217" s="192"/>
    </row>
    <row r="218" spans="1:50" ht="15.75">
      <c r="A218" s="709" t="s">
        <v>561</v>
      </c>
      <c r="B218" s="711"/>
      <c r="C218" s="275" t="s">
        <v>562</v>
      </c>
      <c r="D218" s="275" t="s">
        <v>562</v>
      </c>
      <c r="E218" s="275"/>
      <c r="F218" s="255"/>
      <c r="G218" s="275"/>
      <c r="H218" s="276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192"/>
    </row>
    <row r="219" spans="1:50" ht="15.75">
      <c r="A219" s="277"/>
      <c r="B219" s="277"/>
      <c r="C219" s="276"/>
      <c r="D219" s="276"/>
      <c r="E219" s="276"/>
      <c r="F219" s="276"/>
      <c r="G219" s="276"/>
      <c r="H219" s="276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192"/>
    </row>
    <row r="220" spans="1:50" ht="36" customHeight="1">
      <c r="A220" s="719" t="s">
        <v>623</v>
      </c>
      <c r="B220" s="719"/>
      <c r="C220" s="719"/>
      <c r="D220" s="719"/>
      <c r="E220" s="719"/>
      <c r="F220" s="719"/>
      <c r="G220" s="719"/>
      <c r="H220" s="719"/>
      <c r="I220" s="719"/>
      <c r="J220" s="719"/>
      <c r="K220" s="719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192"/>
    </row>
    <row r="221" spans="2:11" ht="15.75">
      <c r="B221" s="186"/>
      <c r="I221" s="192"/>
      <c r="J221" s="278"/>
      <c r="K221" s="278"/>
    </row>
    <row r="222" spans="1:12" ht="15.75" customHeight="1">
      <c r="A222" s="720" t="s">
        <v>624</v>
      </c>
      <c r="B222" s="720"/>
      <c r="C222" s="720"/>
      <c r="D222" s="720"/>
      <c r="E222" s="720"/>
      <c r="F222" s="720"/>
      <c r="G222" s="720"/>
      <c r="H222" s="720"/>
      <c r="I222" s="720"/>
      <c r="J222" s="720"/>
      <c r="K222" s="720"/>
      <c r="L222" s="280"/>
    </row>
    <row r="223" spans="1:12" ht="15.75" customHeight="1">
      <c r="A223" s="279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80"/>
    </row>
    <row r="224" spans="2:31" ht="15.75" customHeight="1">
      <c r="B224" s="186" t="s">
        <v>713</v>
      </c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</row>
    <row r="225" spans="2:31" ht="15.75" customHeight="1">
      <c r="B225" s="186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</row>
    <row r="226" spans="2:31" ht="15.75" customHeight="1">
      <c r="B226" s="186" t="s">
        <v>714</v>
      </c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</row>
    <row r="227" spans="1:12" ht="15.75" customHeight="1">
      <c r="A227" s="224"/>
      <c r="B227" s="224"/>
      <c r="C227" s="224"/>
      <c r="D227" s="224"/>
      <c r="E227" s="224"/>
      <c r="F227" s="224"/>
      <c r="G227" s="280"/>
      <c r="H227" s="280"/>
      <c r="I227" s="280"/>
      <c r="J227" s="280"/>
      <c r="K227" s="280"/>
      <c r="L227" s="280"/>
    </row>
    <row r="228" spans="1:8" ht="15.75" customHeight="1">
      <c r="A228" s="689" t="s">
        <v>545</v>
      </c>
      <c r="B228" s="715" t="s">
        <v>1</v>
      </c>
      <c r="C228" s="715" t="s">
        <v>605</v>
      </c>
      <c r="D228" s="715" t="s">
        <v>606</v>
      </c>
      <c r="E228" s="716" t="s">
        <v>579</v>
      </c>
      <c r="F228" s="717"/>
      <c r="G228" s="718"/>
      <c r="H228" s="257"/>
    </row>
    <row r="229" spans="1:50" ht="47.25" customHeight="1">
      <c r="A229" s="690"/>
      <c r="B229" s="715"/>
      <c r="C229" s="715"/>
      <c r="D229" s="715"/>
      <c r="E229" s="270" t="s">
        <v>607</v>
      </c>
      <c r="F229" s="236" t="s">
        <v>557</v>
      </c>
      <c r="G229" s="236" t="s">
        <v>563</v>
      </c>
      <c r="H229" s="272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192"/>
    </row>
    <row r="230" spans="1:50" ht="12" customHeight="1">
      <c r="A230" s="281">
        <v>1</v>
      </c>
      <c r="B230" s="282">
        <v>2</v>
      </c>
      <c r="C230" s="282">
        <v>3</v>
      </c>
      <c r="D230" s="282">
        <v>4</v>
      </c>
      <c r="E230" s="274">
        <v>5</v>
      </c>
      <c r="F230" s="229">
        <v>6</v>
      </c>
      <c r="G230" s="229">
        <v>7</v>
      </c>
      <c r="H230" s="231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192"/>
    </row>
    <row r="231" spans="1:50" ht="15.75">
      <c r="A231" s="200"/>
      <c r="B231" s="196"/>
      <c r="C231" s="202"/>
      <c r="D231" s="202"/>
      <c r="E231" s="275"/>
      <c r="F231" s="275"/>
      <c r="G231" s="275"/>
      <c r="H231" s="276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192"/>
    </row>
    <row r="232" spans="1:50" ht="15.75">
      <c r="A232" s="200"/>
      <c r="B232" s="196"/>
      <c r="C232" s="202"/>
      <c r="D232" s="202"/>
      <c r="E232" s="275"/>
      <c r="F232" s="275"/>
      <c r="G232" s="275"/>
      <c r="H232" s="276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47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192"/>
    </row>
    <row r="233" spans="1:50" ht="15.75">
      <c r="A233" s="709" t="s">
        <v>561</v>
      </c>
      <c r="B233" s="711"/>
      <c r="C233" s="202" t="s">
        <v>562</v>
      </c>
      <c r="D233" s="202" t="s">
        <v>562</v>
      </c>
      <c r="E233" s="275"/>
      <c r="F233" s="275"/>
      <c r="G233" s="275"/>
      <c r="H233" s="276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  <c r="AO233" s="256"/>
      <c r="AP233" s="256"/>
      <c r="AQ233" s="256"/>
      <c r="AR233" s="256"/>
      <c r="AS233" s="256"/>
      <c r="AT233" s="256"/>
      <c r="AU233" s="256"/>
      <c r="AV233" s="256"/>
      <c r="AW233" s="256"/>
      <c r="AX233" s="192"/>
    </row>
    <row r="234" spans="1:50" ht="15.75">
      <c r="A234" s="237"/>
      <c r="B234" s="192"/>
      <c r="C234" s="237"/>
      <c r="D234" s="237"/>
      <c r="E234" s="237"/>
      <c r="F234" s="237"/>
      <c r="G234" s="192"/>
      <c r="H234" s="278"/>
      <c r="I234" s="278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</row>
    <row r="235" spans="1:50" ht="39" customHeight="1">
      <c r="A235" s="712" t="s">
        <v>625</v>
      </c>
      <c r="B235" s="712"/>
      <c r="C235" s="712"/>
      <c r="D235" s="712"/>
      <c r="E235" s="712"/>
      <c r="F235" s="712"/>
      <c r="G235" s="712"/>
      <c r="H235" s="712"/>
      <c r="I235" s="712"/>
      <c r="J235" s="712"/>
      <c r="K235" s="71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</row>
    <row r="236" spans="1:50" ht="15.75">
      <c r="A236" s="237"/>
      <c r="B236" s="192"/>
      <c r="C236" s="237"/>
      <c r="D236" s="237"/>
      <c r="E236" s="237"/>
      <c r="F236" s="237"/>
      <c r="G236" s="192"/>
      <c r="H236" s="278"/>
      <c r="I236" s="278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</row>
    <row r="237" spans="1:11" ht="15.75">
      <c r="A237" s="713" t="s">
        <v>626</v>
      </c>
      <c r="B237" s="713"/>
      <c r="C237" s="713"/>
      <c r="D237" s="713"/>
      <c r="E237" s="713"/>
      <c r="F237" s="713"/>
      <c r="G237" s="713"/>
      <c r="H237" s="713"/>
      <c r="I237" s="713"/>
      <c r="J237" s="713"/>
      <c r="K237" s="713"/>
    </row>
    <row r="238" spans="1:10" ht="15.75">
      <c r="A238" s="237"/>
      <c r="B238" s="192"/>
      <c r="C238" s="237"/>
      <c r="D238" s="237"/>
      <c r="E238" s="237"/>
      <c r="F238" s="237"/>
      <c r="G238" s="192"/>
      <c r="H238" s="278"/>
      <c r="I238" s="278"/>
      <c r="J238" s="192"/>
    </row>
    <row r="239" spans="2:31" ht="15.75" customHeight="1">
      <c r="B239" s="193" t="s">
        <v>627</v>
      </c>
      <c r="C239" s="193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</row>
    <row r="240" spans="2:31" ht="15.75" customHeight="1">
      <c r="B240" s="186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</row>
    <row r="241" spans="2:31" ht="15.75" customHeight="1">
      <c r="B241" s="193" t="s">
        <v>542</v>
      </c>
      <c r="C241" s="193"/>
      <c r="D241" s="193" t="s">
        <v>702</v>
      </c>
      <c r="E241" s="193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</row>
    <row r="242" spans="1:10" ht="15.75">
      <c r="A242" s="237"/>
      <c r="B242" s="192"/>
      <c r="C242" s="237"/>
      <c r="D242" s="237"/>
      <c r="E242" s="237"/>
      <c r="F242" s="237"/>
      <c r="G242" s="192"/>
      <c r="H242" s="278"/>
      <c r="I242" s="278"/>
      <c r="J242" s="192"/>
    </row>
    <row r="243" spans="1:10" ht="15.75">
      <c r="A243" s="237"/>
      <c r="B243" s="223" t="s">
        <v>628</v>
      </c>
      <c r="C243" s="237"/>
      <c r="D243" s="237"/>
      <c r="E243" s="237"/>
      <c r="F243" s="237"/>
      <c r="G243" s="192"/>
      <c r="H243" s="278"/>
      <c r="I243" s="278"/>
      <c r="J243" s="192"/>
    </row>
    <row r="244" spans="1:10" ht="15.75">
      <c r="A244" s="283"/>
      <c r="B244" s="283"/>
      <c r="C244" s="283"/>
      <c r="D244" s="283"/>
      <c r="E244" s="237"/>
      <c r="F244" s="237"/>
      <c r="G244" s="192"/>
      <c r="H244" s="278"/>
      <c r="I244" s="278"/>
      <c r="J244" s="192"/>
    </row>
    <row r="245" spans="1:36" ht="22.5" customHeight="1">
      <c r="A245" s="689" t="s">
        <v>545</v>
      </c>
      <c r="B245" s="715" t="s">
        <v>566</v>
      </c>
      <c r="C245" s="715" t="s">
        <v>629</v>
      </c>
      <c r="D245" s="715" t="s">
        <v>630</v>
      </c>
      <c r="E245" s="715" t="s">
        <v>631</v>
      </c>
      <c r="F245" s="716" t="s">
        <v>579</v>
      </c>
      <c r="G245" s="717"/>
      <c r="H245" s="718"/>
      <c r="I245" s="257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1:36" ht="56.25" customHeight="1">
      <c r="A246" s="690"/>
      <c r="B246" s="715"/>
      <c r="C246" s="715"/>
      <c r="D246" s="715"/>
      <c r="E246" s="715"/>
      <c r="F246" s="246" t="s">
        <v>632</v>
      </c>
      <c r="G246" s="225" t="s">
        <v>557</v>
      </c>
      <c r="H246" s="227" t="s">
        <v>563</v>
      </c>
      <c r="I246" s="272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192"/>
    </row>
    <row r="247" spans="1:36" ht="15.75">
      <c r="A247" s="201">
        <v>1</v>
      </c>
      <c r="B247" s="201">
        <v>2</v>
      </c>
      <c r="C247" s="201">
        <v>3</v>
      </c>
      <c r="D247" s="201">
        <v>4</v>
      </c>
      <c r="E247" s="201">
        <v>5</v>
      </c>
      <c r="F247" s="204">
        <v>6</v>
      </c>
      <c r="G247" s="230">
        <v>7</v>
      </c>
      <c r="H247" s="229">
        <v>8</v>
      </c>
      <c r="I247" s="231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192"/>
    </row>
    <row r="248" spans="1:36" ht="15.75">
      <c r="A248" s="238"/>
      <c r="B248" s="197"/>
      <c r="C248" s="215"/>
      <c r="D248" s="215"/>
      <c r="E248" s="215"/>
      <c r="F248" s="203"/>
      <c r="G248" s="255"/>
      <c r="H248" s="275"/>
      <c r="I248" s="276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192"/>
    </row>
    <row r="249" spans="1:36" ht="15.75">
      <c r="A249" s="238"/>
      <c r="B249" s="197"/>
      <c r="C249" s="215"/>
      <c r="D249" s="215"/>
      <c r="E249" s="215"/>
      <c r="F249" s="203"/>
      <c r="G249" s="255"/>
      <c r="H249" s="275"/>
      <c r="I249" s="276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192"/>
    </row>
    <row r="250" spans="1:36" ht="15.75">
      <c r="A250" s="723" t="s">
        <v>635</v>
      </c>
      <c r="B250" s="724"/>
      <c r="C250" s="215" t="s">
        <v>562</v>
      </c>
      <c r="D250" s="215" t="s">
        <v>562</v>
      </c>
      <c r="E250" s="215" t="s">
        <v>562</v>
      </c>
      <c r="F250" s="203"/>
      <c r="G250" s="255"/>
      <c r="H250" s="275"/>
      <c r="I250" s="276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93"/>
      <c r="W250" s="293"/>
      <c r="X250" s="293"/>
      <c r="Y250" s="293"/>
      <c r="Z250" s="293"/>
      <c r="AA250" s="293"/>
      <c r="AB250" s="293"/>
      <c r="AC250" s="293"/>
      <c r="AD250" s="293"/>
      <c r="AE250" s="293"/>
      <c r="AF250" s="293"/>
      <c r="AG250" s="293"/>
      <c r="AH250" s="293"/>
      <c r="AI250" s="293"/>
      <c r="AJ250" s="192"/>
    </row>
    <row r="251" spans="1:10" ht="15.75">
      <c r="A251" s="237"/>
      <c r="B251" s="192"/>
      <c r="C251" s="237"/>
      <c r="D251" s="237"/>
      <c r="E251" s="237"/>
      <c r="F251" s="237"/>
      <c r="G251" s="192"/>
      <c r="H251" s="278"/>
      <c r="I251" s="278"/>
      <c r="J251" s="192"/>
    </row>
    <row r="252" spans="1:11" ht="151.5" customHeight="1">
      <c r="A252" s="712" t="s">
        <v>636</v>
      </c>
      <c r="B252" s="712"/>
      <c r="C252" s="712"/>
      <c r="D252" s="712"/>
      <c r="E252" s="712"/>
      <c r="F252" s="712"/>
      <c r="G252" s="712"/>
      <c r="H252" s="712"/>
      <c r="I252" s="712"/>
      <c r="J252" s="712"/>
      <c r="K252" s="712"/>
    </row>
    <row r="253" spans="1:10" ht="15.75">
      <c r="A253" s="237"/>
      <c r="B253" s="192"/>
      <c r="C253" s="237"/>
      <c r="D253" s="237"/>
      <c r="E253" s="237"/>
      <c r="F253" s="237"/>
      <c r="G253" s="192"/>
      <c r="H253" s="278"/>
      <c r="I253" s="278"/>
      <c r="J253" s="192"/>
    </row>
    <row r="254" spans="1:10" ht="15.75">
      <c r="A254" s="283"/>
      <c r="B254" s="283" t="s">
        <v>637</v>
      </c>
      <c r="C254" s="283"/>
      <c r="D254" s="283"/>
      <c r="E254" s="283"/>
      <c r="F254" s="237"/>
      <c r="G254" s="192"/>
      <c r="H254" s="278"/>
      <c r="I254" s="278"/>
      <c r="J254" s="192"/>
    </row>
    <row r="255" spans="1:10" ht="15.75">
      <c r="A255" s="237"/>
      <c r="B255" s="192"/>
      <c r="C255" s="237"/>
      <c r="D255" s="237"/>
      <c r="E255" s="237"/>
      <c r="F255" s="237"/>
      <c r="G255" s="192"/>
      <c r="H255" s="278"/>
      <c r="I255" s="278"/>
      <c r="J255" s="192"/>
    </row>
    <row r="256" spans="1:10" ht="15.75">
      <c r="A256" s="689" t="s">
        <v>545</v>
      </c>
      <c r="B256" s="715" t="s">
        <v>566</v>
      </c>
      <c r="C256" s="715" t="s">
        <v>638</v>
      </c>
      <c r="D256" s="715" t="s">
        <v>639</v>
      </c>
      <c r="E256" s="716" t="s">
        <v>579</v>
      </c>
      <c r="F256" s="717"/>
      <c r="G256" s="718"/>
      <c r="H256" s="257"/>
      <c r="I256" s="278"/>
      <c r="J256" s="192"/>
    </row>
    <row r="257" spans="1:10" ht="31.5">
      <c r="A257" s="690"/>
      <c r="B257" s="715"/>
      <c r="C257" s="715"/>
      <c r="D257" s="715"/>
      <c r="E257" s="270" t="s">
        <v>640</v>
      </c>
      <c r="F257" s="271" t="s">
        <v>557</v>
      </c>
      <c r="G257" s="236" t="s">
        <v>563</v>
      </c>
      <c r="H257" s="272"/>
      <c r="I257" s="278"/>
      <c r="J257" s="192"/>
    </row>
    <row r="258" spans="1:10" ht="15.75">
      <c r="A258" s="281">
        <v>1</v>
      </c>
      <c r="B258" s="282">
        <v>2</v>
      </c>
      <c r="C258" s="282">
        <v>3</v>
      </c>
      <c r="D258" s="282">
        <v>4</v>
      </c>
      <c r="E258" s="274">
        <v>5</v>
      </c>
      <c r="F258" s="230">
        <v>6</v>
      </c>
      <c r="G258" s="229">
        <v>7</v>
      </c>
      <c r="H258" s="231"/>
      <c r="I258" s="278"/>
      <c r="J258" s="192"/>
    </row>
    <row r="259" spans="1:10" ht="15.75">
      <c r="A259" s="200"/>
      <c r="B259" s="196"/>
      <c r="C259" s="202"/>
      <c r="D259" s="202"/>
      <c r="E259" s="275"/>
      <c r="F259" s="255"/>
      <c r="G259" s="275"/>
      <c r="H259" s="276"/>
      <c r="I259" s="278"/>
      <c r="J259" s="192"/>
    </row>
    <row r="260" spans="1:10" ht="15.75">
      <c r="A260" s="200"/>
      <c r="B260" s="196"/>
      <c r="C260" s="202"/>
      <c r="D260" s="202"/>
      <c r="E260" s="275"/>
      <c r="F260" s="255"/>
      <c r="G260" s="275"/>
      <c r="H260" s="276"/>
      <c r="I260" s="278"/>
      <c r="J260" s="192"/>
    </row>
    <row r="261" spans="1:10" ht="15.75">
      <c r="A261" s="709" t="s">
        <v>561</v>
      </c>
      <c r="B261" s="711"/>
      <c r="C261" s="202" t="s">
        <v>562</v>
      </c>
      <c r="D261" s="202" t="s">
        <v>562</v>
      </c>
      <c r="E261" s="275"/>
      <c r="F261" s="255"/>
      <c r="G261" s="275"/>
      <c r="H261" s="276"/>
      <c r="I261" s="278"/>
      <c r="J261" s="192"/>
    </row>
    <row r="262" spans="1:10" ht="15.75">
      <c r="A262" s="237"/>
      <c r="B262" s="192"/>
      <c r="C262" s="237"/>
      <c r="D262" s="237"/>
      <c r="E262" s="237"/>
      <c r="F262" s="237"/>
      <c r="G262" s="192"/>
      <c r="H262" s="278"/>
      <c r="I262" s="278"/>
      <c r="J262" s="192"/>
    </row>
    <row r="263" spans="1:11" ht="36" customHeight="1">
      <c r="A263" s="725" t="s">
        <v>641</v>
      </c>
      <c r="B263" s="725"/>
      <c r="C263" s="725"/>
      <c r="D263" s="725"/>
      <c r="E263" s="725"/>
      <c r="F263" s="725"/>
      <c r="G263" s="725"/>
      <c r="H263" s="725"/>
      <c r="I263" s="725"/>
      <c r="J263" s="725"/>
      <c r="K263" s="725"/>
    </row>
    <row r="264" spans="1:10" ht="15.75">
      <c r="A264" s="237"/>
      <c r="B264" s="192"/>
      <c r="C264" s="237"/>
      <c r="D264" s="237"/>
      <c r="E264" s="237"/>
      <c r="F264" s="237"/>
      <c r="G264" s="192"/>
      <c r="H264" s="278"/>
      <c r="I264" s="278"/>
      <c r="J264" s="192"/>
    </row>
    <row r="265" spans="1:10" ht="15.75">
      <c r="A265" s="283"/>
      <c r="B265" s="283" t="s">
        <v>642</v>
      </c>
      <c r="C265" s="283"/>
      <c r="D265" s="283"/>
      <c r="E265" s="283"/>
      <c r="F265" s="283"/>
      <c r="G265" s="192"/>
      <c r="H265" s="278"/>
      <c r="I265" s="278"/>
      <c r="J265" s="192"/>
    </row>
    <row r="266" spans="1:10" ht="15.75">
      <c r="A266" s="237"/>
      <c r="B266" s="192"/>
      <c r="C266" s="237"/>
      <c r="D266" s="237"/>
      <c r="E266" s="237"/>
      <c r="F266" s="237"/>
      <c r="G266" s="192"/>
      <c r="H266" s="278"/>
      <c r="I266" s="278"/>
      <c r="J266" s="192"/>
    </row>
    <row r="267" spans="1:10" ht="15.75" customHeight="1">
      <c r="A267" s="689" t="s">
        <v>545</v>
      </c>
      <c r="B267" s="715" t="s">
        <v>1</v>
      </c>
      <c r="C267" s="715" t="s">
        <v>643</v>
      </c>
      <c r="D267" s="715" t="s">
        <v>644</v>
      </c>
      <c r="E267" s="715" t="s">
        <v>645</v>
      </c>
      <c r="F267" s="716" t="s">
        <v>579</v>
      </c>
      <c r="G267" s="717"/>
      <c r="H267" s="718"/>
      <c r="I267" s="257"/>
      <c r="J267" s="192"/>
    </row>
    <row r="268" spans="1:10" ht="47.25">
      <c r="A268" s="690"/>
      <c r="B268" s="715"/>
      <c r="C268" s="715"/>
      <c r="D268" s="715"/>
      <c r="E268" s="715"/>
      <c r="F268" s="269" t="s">
        <v>632</v>
      </c>
      <c r="G268" s="236" t="s">
        <v>557</v>
      </c>
      <c r="H268" s="236" t="s">
        <v>563</v>
      </c>
      <c r="I268" s="272"/>
      <c r="J268" s="192"/>
    </row>
    <row r="269" spans="1:10" ht="15.75">
      <c r="A269" s="201">
        <v>1</v>
      </c>
      <c r="B269" s="201">
        <v>2</v>
      </c>
      <c r="C269" s="201">
        <v>3</v>
      </c>
      <c r="D269" s="201">
        <v>4</v>
      </c>
      <c r="E269" s="201">
        <v>5</v>
      </c>
      <c r="F269" s="204">
        <v>6</v>
      </c>
      <c r="G269" s="229">
        <v>7</v>
      </c>
      <c r="H269" s="229">
        <v>8</v>
      </c>
      <c r="I269" s="231"/>
      <c r="J269" s="192"/>
    </row>
    <row r="270" spans="1:10" ht="15.75">
      <c r="A270" s="238"/>
      <c r="B270" s="197"/>
      <c r="C270" s="215"/>
      <c r="D270" s="215"/>
      <c r="E270" s="215"/>
      <c r="F270" s="203"/>
      <c r="G270" s="275"/>
      <c r="H270" s="275"/>
      <c r="I270" s="276"/>
      <c r="J270" s="192"/>
    </row>
    <row r="271" spans="1:10" ht="15.75">
      <c r="A271" s="238"/>
      <c r="B271" s="197"/>
      <c r="C271" s="215"/>
      <c r="D271" s="215"/>
      <c r="E271" s="215"/>
      <c r="F271" s="203"/>
      <c r="G271" s="275"/>
      <c r="H271" s="275"/>
      <c r="I271" s="276"/>
      <c r="J271" s="192"/>
    </row>
    <row r="272" spans="1:10" ht="15.75">
      <c r="A272" s="723" t="s">
        <v>635</v>
      </c>
      <c r="B272" s="724"/>
      <c r="C272" s="215" t="s">
        <v>562</v>
      </c>
      <c r="D272" s="215" t="s">
        <v>562</v>
      </c>
      <c r="E272" s="215" t="s">
        <v>562</v>
      </c>
      <c r="F272" s="203"/>
      <c r="G272" s="275"/>
      <c r="H272" s="275"/>
      <c r="I272" s="276"/>
      <c r="J272" s="192"/>
    </row>
    <row r="273" spans="1:10" ht="15.75">
      <c r="A273" s="237"/>
      <c r="B273" s="192"/>
      <c r="C273" s="237"/>
      <c r="D273" s="237"/>
      <c r="E273" s="237"/>
      <c r="F273" s="237"/>
      <c r="G273" s="192"/>
      <c r="H273" s="278"/>
      <c r="I273" s="278"/>
      <c r="J273" s="192"/>
    </row>
    <row r="274" spans="1:11" ht="66.75" customHeight="1">
      <c r="A274" s="712" t="s">
        <v>649</v>
      </c>
      <c r="B274" s="725"/>
      <c r="C274" s="725"/>
      <c r="D274" s="725"/>
      <c r="E274" s="725"/>
      <c r="F274" s="725"/>
      <c r="G274" s="725"/>
      <c r="H274" s="725"/>
      <c r="I274" s="725"/>
      <c r="J274" s="725"/>
      <c r="K274" s="725"/>
    </row>
    <row r="275" spans="1:10" ht="15.75">
      <c r="A275" s="237"/>
      <c r="B275" s="192"/>
      <c r="C275" s="237"/>
      <c r="D275" s="237"/>
      <c r="E275" s="237"/>
      <c r="F275" s="237"/>
      <c r="G275" s="192"/>
      <c r="H275" s="278"/>
      <c r="I275" s="278"/>
      <c r="J275" s="192"/>
    </row>
    <row r="276" spans="1:10" ht="15.75">
      <c r="A276" s="283"/>
      <c r="B276" s="283" t="s">
        <v>650</v>
      </c>
      <c r="C276" s="283"/>
      <c r="D276" s="283"/>
      <c r="E276" s="283"/>
      <c r="F276" s="237"/>
      <c r="G276" s="192"/>
      <c r="H276" s="278"/>
      <c r="I276" s="278"/>
      <c r="J276" s="192"/>
    </row>
    <row r="277" spans="1:10" ht="15.75">
      <c r="A277" s="237"/>
      <c r="B277" s="192"/>
      <c r="C277" s="237"/>
      <c r="D277" s="237"/>
      <c r="E277" s="237"/>
      <c r="F277" s="237"/>
      <c r="G277" s="192"/>
      <c r="H277" s="278"/>
      <c r="I277" s="278"/>
      <c r="J277" s="192"/>
    </row>
    <row r="278" spans="1:10" ht="15.75">
      <c r="A278" s="689" t="s">
        <v>545</v>
      </c>
      <c r="B278" s="715" t="s">
        <v>1</v>
      </c>
      <c r="C278" s="715" t="s">
        <v>651</v>
      </c>
      <c r="D278" s="715" t="s">
        <v>652</v>
      </c>
      <c r="E278" s="716" t="s">
        <v>579</v>
      </c>
      <c r="F278" s="717"/>
      <c r="G278" s="718"/>
      <c r="H278" s="257"/>
      <c r="I278" s="278"/>
      <c r="J278" s="192"/>
    </row>
    <row r="279" spans="1:10" ht="47.25">
      <c r="A279" s="690"/>
      <c r="B279" s="715"/>
      <c r="C279" s="715"/>
      <c r="D279" s="715"/>
      <c r="E279" s="270" t="s">
        <v>653</v>
      </c>
      <c r="F279" s="271" t="s">
        <v>557</v>
      </c>
      <c r="G279" s="236" t="s">
        <v>563</v>
      </c>
      <c r="H279" s="272"/>
      <c r="I279" s="278"/>
      <c r="J279" s="192"/>
    </row>
    <row r="280" spans="1:10" ht="15.75">
      <c r="A280" s="281">
        <v>1</v>
      </c>
      <c r="B280" s="282">
        <v>2</v>
      </c>
      <c r="C280" s="282">
        <v>3</v>
      </c>
      <c r="D280" s="282">
        <v>4</v>
      </c>
      <c r="E280" s="274">
        <v>5</v>
      </c>
      <c r="F280" s="230">
        <v>5</v>
      </c>
      <c r="G280" s="229">
        <v>6</v>
      </c>
      <c r="H280" s="231"/>
      <c r="I280" s="278"/>
      <c r="J280" s="192"/>
    </row>
    <row r="281" spans="1:10" ht="15.75">
      <c r="A281" s="200"/>
      <c r="B281" s="196"/>
      <c r="C281" s="202"/>
      <c r="D281" s="202"/>
      <c r="E281" s="275"/>
      <c r="F281" s="255"/>
      <c r="G281" s="275"/>
      <c r="H281" s="276"/>
      <c r="I281" s="278"/>
      <c r="J281" s="192"/>
    </row>
    <row r="282" spans="1:10" ht="15.75">
      <c r="A282" s="200"/>
      <c r="B282" s="196"/>
      <c r="C282" s="202"/>
      <c r="D282" s="202"/>
      <c r="E282" s="275"/>
      <c r="F282" s="255"/>
      <c r="G282" s="275"/>
      <c r="H282" s="276"/>
      <c r="I282" s="278"/>
      <c r="J282" s="192"/>
    </row>
    <row r="283" spans="1:10" ht="15.75">
      <c r="A283" s="709" t="s">
        <v>561</v>
      </c>
      <c r="B283" s="711"/>
      <c r="C283" s="202" t="s">
        <v>562</v>
      </c>
      <c r="D283" s="202" t="s">
        <v>562</v>
      </c>
      <c r="E283" s="275" t="s">
        <v>562</v>
      </c>
      <c r="F283" s="255"/>
      <c r="G283" s="275"/>
      <c r="H283" s="276"/>
      <c r="I283" s="278"/>
      <c r="J283" s="192"/>
    </row>
    <row r="284" spans="1:10" ht="15.75">
      <c r="A284" s="237"/>
      <c r="B284" s="192"/>
      <c r="C284" s="237"/>
      <c r="D284" s="237"/>
      <c r="E284" s="237"/>
      <c r="F284" s="237"/>
      <c r="G284" s="192"/>
      <c r="H284" s="278"/>
      <c r="I284" s="278"/>
      <c r="J284" s="192"/>
    </row>
    <row r="285" spans="1:11" ht="48" customHeight="1">
      <c r="A285" s="728" t="s">
        <v>654</v>
      </c>
      <c r="B285" s="728"/>
      <c r="C285" s="728"/>
      <c r="D285" s="728"/>
      <c r="E285" s="728"/>
      <c r="F285" s="728"/>
      <c r="G285" s="728"/>
      <c r="H285" s="728"/>
      <c r="I285" s="728"/>
      <c r="J285" s="728"/>
      <c r="K285" s="728"/>
    </row>
    <row r="286" spans="1:10" ht="15.75">
      <c r="A286" s="237"/>
      <c r="B286" s="192"/>
      <c r="C286" s="237"/>
      <c r="D286" s="237"/>
      <c r="E286" s="237"/>
      <c r="F286" s="237"/>
      <c r="G286" s="192"/>
      <c r="H286" s="278"/>
      <c r="I286" s="278"/>
      <c r="J286" s="192"/>
    </row>
    <row r="287" spans="1:10" ht="15.75">
      <c r="A287" s="283"/>
      <c r="B287" s="283" t="s">
        <v>655</v>
      </c>
      <c r="C287" s="283"/>
      <c r="D287" s="283"/>
      <c r="E287" s="283"/>
      <c r="F287" s="283"/>
      <c r="G287" s="192"/>
      <c r="H287" s="278"/>
      <c r="I287" s="278"/>
      <c r="J287" s="192"/>
    </row>
    <row r="288" spans="1:10" ht="15.75">
      <c r="A288" s="237"/>
      <c r="B288" s="192"/>
      <c r="C288" s="237"/>
      <c r="D288" s="237"/>
      <c r="E288" s="237"/>
      <c r="F288" s="237"/>
      <c r="G288" s="192"/>
      <c r="H288" s="278"/>
      <c r="I288" s="278"/>
      <c r="J288" s="192"/>
    </row>
    <row r="289" spans="1:10" ht="15.75">
      <c r="A289" s="689" t="s">
        <v>545</v>
      </c>
      <c r="B289" s="715" t="s">
        <v>566</v>
      </c>
      <c r="C289" s="715" t="s">
        <v>656</v>
      </c>
      <c r="D289" s="715" t="s">
        <v>657</v>
      </c>
      <c r="E289" s="716" t="s">
        <v>579</v>
      </c>
      <c r="F289" s="717"/>
      <c r="G289" s="718"/>
      <c r="H289" s="257"/>
      <c r="I289" s="278"/>
      <c r="J289" s="192"/>
    </row>
    <row r="290" spans="1:10" ht="47.25">
      <c r="A290" s="690"/>
      <c r="B290" s="715"/>
      <c r="C290" s="715"/>
      <c r="D290" s="715"/>
      <c r="E290" s="270" t="s">
        <v>658</v>
      </c>
      <c r="F290" s="271" t="s">
        <v>557</v>
      </c>
      <c r="G290" s="236" t="s">
        <v>563</v>
      </c>
      <c r="H290" s="272"/>
      <c r="I290" s="278"/>
      <c r="J290" s="192"/>
    </row>
    <row r="291" spans="1:10" ht="15.75">
      <c r="A291" s="281">
        <v>1</v>
      </c>
      <c r="B291" s="282">
        <v>2</v>
      </c>
      <c r="C291" s="282">
        <v>3</v>
      </c>
      <c r="D291" s="282">
        <v>4</v>
      </c>
      <c r="E291" s="274">
        <v>5</v>
      </c>
      <c r="F291" s="230">
        <v>5</v>
      </c>
      <c r="G291" s="229">
        <v>6</v>
      </c>
      <c r="H291" s="231"/>
      <c r="I291" s="278"/>
      <c r="J291" s="192"/>
    </row>
    <row r="292" spans="1:10" ht="15.75">
      <c r="A292" s="200"/>
      <c r="B292" s="196"/>
      <c r="C292" s="202"/>
      <c r="D292" s="202"/>
      <c r="E292" s="275"/>
      <c r="F292" s="255"/>
      <c r="G292" s="275"/>
      <c r="H292" s="276"/>
      <c r="I292" s="278"/>
      <c r="J292" s="192"/>
    </row>
    <row r="293" spans="1:10" ht="15.75">
      <c r="A293" s="200"/>
      <c r="B293" s="196"/>
      <c r="C293" s="202"/>
      <c r="D293" s="202"/>
      <c r="E293" s="275"/>
      <c r="F293" s="255"/>
      <c r="G293" s="275"/>
      <c r="H293" s="276"/>
      <c r="I293" s="278"/>
      <c r="J293" s="192"/>
    </row>
    <row r="294" spans="1:10" ht="15.75">
      <c r="A294" s="709" t="s">
        <v>561</v>
      </c>
      <c r="B294" s="711"/>
      <c r="C294" s="202" t="s">
        <v>562</v>
      </c>
      <c r="D294" s="202" t="s">
        <v>562</v>
      </c>
      <c r="E294" s="275"/>
      <c r="F294" s="255"/>
      <c r="G294" s="275"/>
      <c r="H294" s="276"/>
      <c r="I294" s="278"/>
      <c r="J294" s="192"/>
    </row>
    <row r="295" spans="1:10" ht="15.75">
      <c r="A295" s="237"/>
      <c r="B295" s="192"/>
      <c r="C295" s="237"/>
      <c r="D295" s="237"/>
      <c r="E295" s="237"/>
      <c r="F295" s="237"/>
      <c r="G295" s="192"/>
      <c r="H295" s="278"/>
      <c r="I295" s="278"/>
      <c r="J295" s="192"/>
    </row>
    <row r="296" spans="1:11" ht="53.25" customHeight="1">
      <c r="A296" s="712" t="s">
        <v>671</v>
      </c>
      <c r="B296" s="712"/>
      <c r="C296" s="712"/>
      <c r="D296" s="712"/>
      <c r="E296" s="712"/>
      <c r="F296" s="712"/>
      <c r="G296" s="712"/>
      <c r="H296" s="712"/>
      <c r="I296" s="712"/>
      <c r="J296" s="712"/>
      <c r="K296" s="712"/>
    </row>
    <row r="297" spans="1:10" ht="15.75">
      <c r="A297" s="237"/>
      <c r="B297" s="192"/>
      <c r="C297" s="237"/>
      <c r="D297" s="237"/>
      <c r="E297" s="237"/>
      <c r="F297" s="237"/>
      <c r="G297" s="192"/>
      <c r="H297" s="278"/>
      <c r="I297" s="278"/>
      <c r="J297" s="192"/>
    </row>
    <row r="298" spans="1:10" ht="15.75">
      <c r="A298" s="283"/>
      <c r="B298" s="283" t="s">
        <v>672</v>
      </c>
      <c r="C298" s="283"/>
      <c r="D298" s="283"/>
      <c r="E298" s="283"/>
      <c r="F298" s="237"/>
      <c r="G298" s="192"/>
      <c r="H298" s="278"/>
      <c r="I298" s="278"/>
      <c r="J298" s="192"/>
    </row>
    <row r="299" spans="1:10" ht="15.75">
      <c r="A299" s="237"/>
      <c r="B299" s="192"/>
      <c r="C299" s="237"/>
      <c r="D299" s="237"/>
      <c r="E299" s="237"/>
      <c r="F299" s="237"/>
      <c r="G299" s="192"/>
      <c r="H299" s="278"/>
      <c r="I299" s="278"/>
      <c r="J299" s="192"/>
    </row>
    <row r="300" spans="1:10" ht="15.75">
      <c r="A300" s="689" t="s">
        <v>545</v>
      </c>
      <c r="B300" s="715" t="s">
        <v>1</v>
      </c>
      <c r="C300" s="715" t="s">
        <v>673</v>
      </c>
      <c r="D300" s="716" t="s">
        <v>579</v>
      </c>
      <c r="E300" s="717"/>
      <c r="F300" s="718"/>
      <c r="G300" s="257"/>
      <c r="H300" s="278"/>
      <c r="I300" s="278"/>
      <c r="J300" s="192"/>
    </row>
    <row r="301" spans="1:10" ht="31.5">
      <c r="A301" s="690"/>
      <c r="B301" s="715"/>
      <c r="C301" s="715"/>
      <c r="D301" s="270" t="s">
        <v>674</v>
      </c>
      <c r="E301" s="236" t="s">
        <v>557</v>
      </c>
      <c r="F301" s="236" t="s">
        <v>563</v>
      </c>
      <c r="G301" s="272"/>
      <c r="H301" s="278"/>
      <c r="I301" s="278"/>
      <c r="J301" s="192"/>
    </row>
    <row r="302" spans="1:10" ht="15.75">
      <c r="A302" s="281">
        <v>1</v>
      </c>
      <c r="B302" s="282">
        <v>2</v>
      </c>
      <c r="C302" s="282">
        <v>3</v>
      </c>
      <c r="D302" s="274">
        <v>5</v>
      </c>
      <c r="E302" s="229">
        <v>5</v>
      </c>
      <c r="F302" s="229">
        <v>6</v>
      </c>
      <c r="G302" s="231"/>
      <c r="H302" s="278"/>
      <c r="I302" s="278"/>
      <c r="J302" s="192"/>
    </row>
    <row r="303" spans="1:10" ht="15.75">
      <c r="A303" s="200">
        <v>1</v>
      </c>
      <c r="B303" s="196" t="s">
        <v>819</v>
      </c>
      <c r="C303" s="202"/>
      <c r="D303" s="265">
        <f>F303</f>
        <v>11215.3</v>
      </c>
      <c r="E303" s="265"/>
      <c r="F303" s="265">
        <v>11215.3</v>
      </c>
      <c r="G303" s="276"/>
      <c r="H303" s="278"/>
      <c r="I303" s="278"/>
      <c r="J303" s="192"/>
    </row>
    <row r="304" spans="1:10" ht="15.75">
      <c r="A304" s="200">
        <v>2</v>
      </c>
      <c r="B304" s="196" t="s">
        <v>919</v>
      </c>
      <c r="C304" s="202"/>
      <c r="D304" s="265">
        <f>F304</f>
        <v>112000</v>
      </c>
      <c r="E304" s="265"/>
      <c r="F304" s="265">
        <f>2*56000</f>
        <v>112000</v>
      </c>
      <c r="G304" s="276"/>
      <c r="H304" s="278"/>
      <c r="I304" s="278"/>
      <c r="J304" s="192"/>
    </row>
    <row r="305" spans="1:10" ht="15.75">
      <c r="A305" s="200">
        <v>3</v>
      </c>
      <c r="B305" s="563" t="s">
        <v>955</v>
      </c>
      <c r="C305" s="202"/>
      <c r="D305" s="265">
        <f>F305</f>
        <v>10000</v>
      </c>
      <c r="E305" s="265"/>
      <c r="F305" s="265">
        <v>10000</v>
      </c>
      <c r="G305" s="276"/>
      <c r="H305" s="278"/>
      <c r="I305" s="278"/>
      <c r="J305" s="192"/>
    </row>
    <row r="306" spans="1:10" ht="15.75">
      <c r="A306" s="709" t="s">
        <v>561</v>
      </c>
      <c r="B306" s="711"/>
      <c r="C306" s="202" t="s">
        <v>562</v>
      </c>
      <c r="D306" s="265">
        <f>D303+D304+D305</f>
        <v>133215.3</v>
      </c>
      <c r="E306" s="265"/>
      <c r="F306" s="265">
        <f>F303+F304+F305</f>
        <v>133215.3</v>
      </c>
      <c r="G306" s="276"/>
      <c r="H306" s="278"/>
      <c r="I306" s="278"/>
      <c r="J306" s="192"/>
    </row>
    <row r="307" spans="1:10" ht="15.75">
      <c r="A307" s="237"/>
      <c r="B307" s="192"/>
      <c r="C307" s="237"/>
      <c r="D307" s="237"/>
      <c r="E307" s="237"/>
      <c r="F307" s="237"/>
      <c r="G307" s="192"/>
      <c r="H307" s="278"/>
      <c r="I307" s="278"/>
      <c r="J307" s="192"/>
    </row>
    <row r="308" spans="1:10" ht="15.75" hidden="1">
      <c r="A308" s="283"/>
      <c r="B308" s="283" t="s">
        <v>891</v>
      </c>
      <c r="C308" s="283"/>
      <c r="D308" s="283"/>
      <c r="E308" s="283"/>
      <c r="F308" s="237"/>
      <c r="G308" s="192"/>
      <c r="H308" s="278"/>
      <c r="I308" s="278"/>
      <c r="J308" s="192"/>
    </row>
    <row r="309" spans="1:10" ht="15.75" hidden="1">
      <c r="A309" s="237"/>
      <c r="B309" s="192"/>
      <c r="C309" s="237"/>
      <c r="D309" s="237"/>
      <c r="E309" s="237"/>
      <c r="F309" s="237"/>
      <c r="G309" s="192"/>
      <c r="H309" s="278"/>
      <c r="I309" s="278"/>
      <c r="J309" s="192"/>
    </row>
    <row r="310" spans="1:10" ht="15.75" hidden="1">
      <c r="A310" s="689" t="s">
        <v>545</v>
      </c>
      <c r="B310" s="715" t="s">
        <v>1</v>
      </c>
      <c r="C310" s="715" t="s">
        <v>673</v>
      </c>
      <c r="D310" s="716" t="s">
        <v>579</v>
      </c>
      <c r="E310" s="717"/>
      <c r="F310" s="718"/>
      <c r="G310" s="257"/>
      <c r="H310" s="278"/>
      <c r="I310" s="278"/>
      <c r="J310" s="192"/>
    </row>
    <row r="311" spans="1:10" ht="31.5" hidden="1">
      <c r="A311" s="690"/>
      <c r="B311" s="715"/>
      <c r="C311" s="715"/>
      <c r="D311" s="270" t="s">
        <v>674</v>
      </c>
      <c r="E311" s="236" t="s">
        <v>557</v>
      </c>
      <c r="F311" s="236" t="s">
        <v>563</v>
      </c>
      <c r="G311" s="272"/>
      <c r="H311" s="278"/>
      <c r="I311" s="278"/>
      <c r="J311" s="192"/>
    </row>
    <row r="312" spans="1:10" ht="15.75" hidden="1">
      <c r="A312" s="281">
        <v>1</v>
      </c>
      <c r="B312" s="282">
        <v>2</v>
      </c>
      <c r="C312" s="282">
        <v>3</v>
      </c>
      <c r="D312" s="274">
        <v>5</v>
      </c>
      <c r="E312" s="229">
        <v>5</v>
      </c>
      <c r="F312" s="229">
        <v>6</v>
      </c>
      <c r="G312" s="231"/>
      <c r="H312" s="278"/>
      <c r="I312" s="278"/>
      <c r="J312" s="192"/>
    </row>
    <row r="313" spans="1:10" ht="15.75" hidden="1">
      <c r="A313" s="200">
        <v>1</v>
      </c>
      <c r="B313" s="196" t="s">
        <v>920</v>
      </c>
      <c r="C313" s="202">
        <v>2</v>
      </c>
      <c r="D313" s="275">
        <v>56000</v>
      </c>
      <c r="E313" s="275">
        <v>0</v>
      </c>
      <c r="F313" s="275"/>
      <c r="G313" s="276"/>
      <c r="H313" s="278"/>
      <c r="I313" s="278"/>
      <c r="J313" s="192"/>
    </row>
    <row r="314" spans="1:10" ht="15.75" hidden="1">
      <c r="A314" s="709" t="s">
        <v>561</v>
      </c>
      <c r="B314" s="711"/>
      <c r="C314" s="202" t="s">
        <v>562</v>
      </c>
      <c r="D314" s="275">
        <f>SUM(D313)</f>
        <v>56000</v>
      </c>
      <c r="E314" s="275">
        <v>0</v>
      </c>
      <c r="F314" s="275">
        <f>SUM(F313)</f>
        <v>0</v>
      </c>
      <c r="G314" s="276"/>
      <c r="H314" s="278"/>
      <c r="I314" s="278"/>
      <c r="J314" s="192"/>
    </row>
    <row r="315" spans="1:10" ht="15.75" hidden="1">
      <c r="A315" s="237"/>
      <c r="B315" s="192"/>
      <c r="C315" s="237"/>
      <c r="D315" s="237"/>
      <c r="E315" s="237"/>
      <c r="F315" s="237"/>
      <c r="G315" s="192"/>
      <c r="H315" s="278"/>
      <c r="I315" s="278"/>
      <c r="J315" s="192"/>
    </row>
    <row r="316" spans="1:10" ht="15.75">
      <c r="A316" s="237"/>
      <c r="B316" s="192"/>
      <c r="C316" s="237"/>
      <c r="D316" s="237"/>
      <c r="E316" s="237"/>
      <c r="F316" s="237"/>
      <c r="G316" s="192"/>
      <c r="H316" s="278"/>
      <c r="I316" s="278"/>
      <c r="J316" s="192"/>
    </row>
    <row r="317" spans="1:11" ht="149.25" customHeight="1">
      <c r="A317" s="712" t="s">
        <v>679</v>
      </c>
      <c r="B317" s="712"/>
      <c r="C317" s="712"/>
      <c r="D317" s="712"/>
      <c r="E317" s="712"/>
      <c r="F317" s="712"/>
      <c r="G317" s="712"/>
      <c r="H317" s="712"/>
      <c r="I317" s="712"/>
      <c r="J317" s="712"/>
      <c r="K317" s="712"/>
    </row>
    <row r="318" spans="1:10" ht="15.75">
      <c r="A318" s="237"/>
      <c r="B318" s="192"/>
      <c r="C318" s="237"/>
      <c r="D318" s="237"/>
      <c r="E318" s="237"/>
      <c r="F318" s="237"/>
      <c r="G318" s="192"/>
      <c r="H318" s="278"/>
      <c r="I318" s="278"/>
      <c r="J318" s="192"/>
    </row>
    <row r="319" spans="1:4" ht="15.75">
      <c r="A319" s="194"/>
      <c r="B319" s="194" t="s">
        <v>680</v>
      </c>
      <c r="C319" s="194"/>
      <c r="D319" s="194"/>
    </row>
    <row r="320" ht="15.75">
      <c r="B320" s="186"/>
    </row>
    <row r="321" spans="1:10" ht="25.5" customHeight="1">
      <c r="A321" s="689" t="s">
        <v>545</v>
      </c>
      <c r="B321" s="689" t="s">
        <v>566</v>
      </c>
      <c r="C321" s="729"/>
      <c r="D321" s="677" t="s">
        <v>651</v>
      </c>
      <c r="E321" s="679" t="s">
        <v>681</v>
      </c>
      <c r="F321" s="687" t="s">
        <v>579</v>
      </c>
      <c r="G321" s="687"/>
      <c r="H321" s="687"/>
      <c r="I321" s="309"/>
      <c r="J321" s="226"/>
    </row>
    <row r="322" spans="1:10" ht="54.75" customHeight="1">
      <c r="A322" s="690"/>
      <c r="B322" s="690"/>
      <c r="C322" s="730"/>
      <c r="D322" s="678"/>
      <c r="E322" s="680"/>
      <c r="F322" s="227" t="s">
        <v>682</v>
      </c>
      <c r="G322" s="227" t="s">
        <v>557</v>
      </c>
      <c r="H322" s="227" t="s">
        <v>563</v>
      </c>
      <c r="I322" s="192"/>
      <c r="J322" s="228"/>
    </row>
    <row r="323" spans="1:10" ht="15.75" customHeight="1">
      <c r="A323" s="232">
        <v>1</v>
      </c>
      <c r="B323" s="731">
        <v>2</v>
      </c>
      <c r="C323" s="732"/>
      <c r="D323" s="232">
        <v>3</v>
      </c>
      <c r="E323" s="232">
        <v>4</v>
      </c>
      <c r="F323" s="232">
        <v>5</v>
      </c>
      <c r="G323" s="232">
        <v>6</v>
      </c>
      <c r="H323" s="232">
        <v>7</v>
      </c>
      <c r="I323" s="278"/>
      <c r="J323" s="278"/>
    </row>
    <row r="324" spans="1:10" ht="15.75">
      <c r="A324" s="206"/>
      <c r="B324" s="716"/>
      <c r="C324" s="718"/>
      <c r="D324" s="206"/>
      <c r="E324" s="206"/>
      <c r="F324" s="206"/>
      <c r="G324" s="232"/>
      <c r="H324" s="232"/>
      <c r="I324" s="278"/>
      <c r="J324" s="192"/>
    </row>
    <row r="325" spans="1:10" ht="15.75">
      <c r="A325" s="206"/>
      <c r="B325" s="716"/>
      <c r="C325" s="718"/>
      <c r="D325" s="206"/>
      <c r="E325" s="206"/>
      <c r="F325" s="206"/>
      <c r="G325" s="206"/>
      <c r="H325" s="232"/>
      <c r="I325" s="278"/>
      <c r="J325" s="192"/>
    </row>
    <row r="326" spans="1:10" ht="15.75">
      <c r="A326" s="684" t="s">
        <v>571</v>
      </c>
      <c r="B326" s="735"/>
      <c r="C326" s="685"/>
      <c r="D326" s="200"/>
      <c r="E326" s="200" t="s">
        <v>562</v>
      </c>
      <c r="F326" s="200"/>
      <c r="G326" s="206"/>
      <c r="H326" s="206"/>
      <c r="I326" s="192"/>
      <c r="J326" s="192"/>
    </row>
    <row r="327" ht="15.75">
      <c r="B327" s="186"/>
    </row>
    <row r="328" spans="1:4" ht="15.75">
      <c r="A328" s="194"/>
      <c r="B328" s="194" t="s">
        <v>686</v>
      </c>
      <c r="C328" s="194"/>
      <c r="D328" s="194"/>
    </row>
    <row r="329" ht="15.75">
      <c r="B329" s="186"/>
    </row>
    <row r="330" spans="1:10" ht="25.5" customHeight="1">
      <c r="A330" s="689" t="s">
        <v>545</v>
      </c>
      <c r="B330" s="689" t="s">
        <v>566</v>
      </c>
      <c r="C330" s="729"/>
      <c r="D330" s="677" t="s">
        <v>651</v>
      </c>
      <c r="E330" s="679" t="s">
        <v>681</v>
      </c>
      <c r="F330" s="687" t="s">
        <v>579</v>
      </c>
      <c r="G330" s="687"/>
      <c r="H330" s="687"/>
      <c r="I330" s="309"/>
      <c r="J330" s="226"/>
    </row>
    <row r="331" spans="1:10" ht="54.75" customHeight="1">
      <c r="A331" s="690"/>
      <c r="B331" s="690"/>
      <c r="C331" s="730"/>
      <c r="D331" s="678"/>
      <c r="E331" s="680"/>
      <c r="F331" s="227" t="s">
        <v>682</v>
      </c>
      <c r="G331" s="227" t="s">
        <v>557</v>
      </c>
      <c r="H331" s="227" t="s">
        <v>563</v>
      </c>
      <c r="I331" s="192"/>
      <c r="J331" s="228"/>
    </row>
    <row r="332" spans="1:10" ht="15.75" customHeight="1">
      <c r="A332" s="232">
        <v>1</v>
      </c>
      <c r="B332" s="731">
        <v>2</v>
      </c>
      <c r="C332" s="732"/>
      <c r="D332" s="232">
        <v>3</v>
      </c>
      <c r="E332" s="232">
        <v>4</v>
      </c>
      <c r="F332" s="232">
        <v>5</v>
      </c>
      <c r="G332" s="232">
        <v>6</v>
      </c>
      <c r="H332" s="232">
        <v>7</v>
      </c>
      <c r="I332" s="278"/>
      <c r="J332" s="278"/>
    </row>
    <row r="333" spans="1:10" ht="15.75">
      <c r="A333" s="200">
        <v>1</v>
      </c>
      <c r="B333" s="716" t="s">
        <v>822</v>
      </c>
      <c r="C333" s="718"/>
      <c r="D333" s="206"/>
      <c r="E333" s="206"/>
      <c r="F333" s="265">
        <f>H333</f>
        <v>7042.14</v>
      </c>
      <c r="G333" s="355"/>
      <c r="H333" s="355">
        <v>7042.14</v>
      </c>
      <c r="I333" s="278"/>
      <c r="J333" s="192"/>
    </row>
    <row r="334" spans="1:10" ht="15.75">
      <c r="A334" s="200">
        <v>2</v>
      </c>
      <c r="B334" s="716" t="s">
        <v>820</v>
      </c>
      <c r="C334" s="718"/>
      <c r="D334" s="206"/>
      <c r="E334" s="206"/>
      <c r="F334" s="265">
        <f>H334</f>
        <v>1440</v>
      </c>
      <c r="G334" s="265"/>
      <c r="H334" s="355">
        <v>1440</v>
      </c>
      <c r="I334" s="278"/>
      <c r="J334" s="192"/>
    </row>
    <row r="335" spans="1:10" ht="15.75">
      <c r="A335" s="235">
        <v>3</v>
      </c>
      <c r="B335" s="716" t="s">
        <v>821</v>
      </c>
      <c r="C335" s="718"/>
      <c r="D335" s="206"/>
      <c r="E335" s="206"/>
      <c r="F335" s="265">
        <f>H335</f>
        <v>12915</v>
      </c>
      <c r="G335" s="265"/>
      <c r="H335" s="355">
        <v>12915</v>
      </c>
      <c r="I335" s="278"/>
      <c r="J335" s="192"/>
    </row>
    <row r="336" spans="1:10" ht="15.75">
      <c r="A336" s="684" t="s">
        <v>571</v>
      </c>
      <c r="B336" s="735"/>
      <c r="C336" s="685"/>
      <c r="D336" s="200"/>
      <c r="E336" s="200" t="s">
        <v>562</v>
      </c>
      <c r="F336" s="265">
        <f>F335+F334+F333</f>
        <v>21397.14</v>
      </c>
      <c r="G336" s="265"/>
      <c r="H336" s="265">
        <f>H335+H334+H333</f>
        <v>21397.14</v>
      </c>
      <c r="I336" s="192"/>
      <c r="J336" s="192"/>
    </row>
    <row r="337" spans="1:10" ht="15.75">
      <c r="A337" s="243"/>
      <c r="B337" s="243"/>
      <c r="C337" s="243"/>
      <c r="D337" s="237"/>
      <c r="E337" s="237"/>
      <c r="F337" s="365"/>
      <c r="G337" s="365"/>
      <c r="H337" s="365"/>
      <c r="I337" s="192"/>
      <c r="J337" s="192"/>
    </row>
    <row r="338" spans="1:4" ht="15.75">
      <c r="A338" s="194"/>
      <c r="B338" s="194" t="s">
        <v>943</v>
      </c>
      <c r="C338" s="194"/>
      <c r="D338" s="194"/>
    </row>
    <row r="339" ht="15.75">
      <c r="B339" s="186"/>
    </row>
    <row r="340" spans="1:10" ht="15.75">
      <c r="A340" s="689" t="s">
        <v>545</v>
      </c>
      <c r="B340" s="689" t="s">
        <v>566</v>
      </c>
      <c r="C340" s="729"/>
      <c r="D340" s="677" t="s">
        <v>651</v>
      </c>
      <c r="E340" s="679" t="s">
        <v>681</v>
      </c>
      <c r="F340" s="687" t="s">
        <v>579</v>
      </c>
      <c r="G340" s="687"/>
      <c r="H340" s="687"/>
      <c r="I340" s="309"/>
      <c r="J340" s="226"/>
    </row>
    <row r="341" spans="1:10" ht="47.25">
      <c r="A341" s="690"/>
      <c r="B341" s="690"/>
      <c r="C341" s="730"/>
      <c r="D341" s="678"/>
      <c r="E341" s="680"/>
      <c r="F341" s="227" t="s">
        <v>682</v>
      </c>
      <c r="G341" s="227" t="s">
        <v>557</v>
      </c>
      <c r="H341" s="227" t="s">
        <v>563</v>
      </c>
      <c r="I341" s="192"/>
      <c r="J341" s="228"/>
    </row>
    <row r="342" spans="1:10" ht="15.75">
      <c r="A342" s="232">
        <v>1</v>
      </c>
      <c r="B342" s="731">
        <v>2</v>
      </c>
      <c r="C342" s="732"/>
      <c r="D342" s="232">
        <v>3</v>
      </c>
      <c r="E342" s="232">
        <v>4</v>
      </c>
      <c r="F342" s="232">
        <v>5</v>
      </c>
      <c r="G342" s="232">
        <v>6</v>
      </c>
      <c r="H342" s="232">
        <v>7</v>
      </c>
      <c r="I342" s="278"/>
      <c r="J342" s="278"/>
    </row>
    <row r="343" spans="1:10" ht="15.75">
      <c r="A343" s="232">
        <v>1</v>
      </c>
      <c r="B343" s="731" t="s">
        <v>329</v>
      </c>
      <c r="C343" s="732"/>
      <c r="D343" s="232" t="s">
        <v>754</v>
      </c>
      <c r="E343" s="232" t="s">
        <v>754</v>
      </c>
      <c r="F343" s="232">
        <f>SUM(G343:H343)</f>
        <v>176362.34</v>
      </c>
      <c r="G343" s="232">
        <f>105204.41+39777.72+31380.21</f>
        <v>176362.34</v>
      </c>
      <c r="H343" s="232">
        <v>0</v>
      </c>
      <c r="I343" s="278"/>
      <c r="J343" s="192"/>
    </row>
    <row r="344" spans="1:10" ht="15.75">
      <c r="A344" s="684" t="s">
        <v>571</v>
      </c>
      <c r="B344" s="735"/>
      <c r="C344" s="685"/>
      <c r="D344" s="200"/>
      <c r="E344" s="200" t="s">
        <v>562</v>
      </c>
      <c r="F344" s="315">
        <f>SUM(G344:H344)</f>
        <v>176362.34</v>
      </c>
      <c r="G344" s="232">
        <f>SUM(G343)</f>
        <v>176362.34</v>
      </c>
      <c r="H344" s="232">
        <v>0</v>
      </c>
      <c r="I344" s="192"/>
      <c r="J344" s="192"/>
    </row>
    <row r="345" spans="1:10" ht="15.75">
      <c r="A345" s="243"/>
      <c r="B345" s="243"/>
      <c r="C345" s="243"/>
      <c r="D345" s="237"/>
      <c r="E345" s="237"/>
      <c r="F345" s="365"/>
      <c r="G345" s="365"/>
      <c r="H345" s="365"/>
      <c r="I345" s="192"/>
      <c r="J345" s="192"/>
    </row>
    <row r="346" spans="1:11" ht="135" customHeight="1">
      <c r="A346" s="702" t="s">
        <v>692</v>
      </c>
      <c r="B346" s="702"/>
      <c r="C346" s="702"/>
      <c r="D346" s="702"/>
      <c r="E346" s="702"/>
      <c r="F346" s="702"/>
      <c r="G346" s="702"/>
      <c r="H346" s="702"/>
      <c r="I346" s="702"/>
      <c r="J346" s="702"/>
      <c r="K346" s="702"/>
    </row>
    <row r="347" ht="15.75">
      <c r="B347" s="186"/>
    </row>
    <row r="348" spans="1:4" ht="15.75">
      <c r="A348" s="194"/>
      <c r="B348" s="194" t="s">
        <v>693</v>
      </c>
      <c r="C348" s="194"/>
      <c r="D348" s="194"/>
    </row>
    <row r="349" ht="15.75">
      <c r="B349" s="186"/>
    </row>
    <row r="350" spans="1:10" ht="25.5" customHeight="1">
      <c r="A350" s="689" t="s">
        <v>545</v>
      </c>
      <c r="B350" s="689" t="s">
        <v>566</v>
      </c>
      <c r="C350" s="729"/>
      <c r="D350" s="677" t="s">
        <v>651</v>
      </c>
      <c r="E350" s="679" t="s">
        <v>681</v>
      </c>
      <c r="F350" s="687" t="s">
        <v>579</v>
      </c>
      <c r="G350" s="687"/>
      <c r="H350" s="687"/>
      <c r="I350" s="309"/>
      <c r="J350" s="226"/>
    </row>
    <row r="351" spans="1:10" ht="54.75" customHeight="1">
      <c r="A351" s="690"/>
      <c r="B351" s="690"/>
      <c r="C351" s="730"/>
      <c r="D351" s="678"/>
      <c r="E351" s="680"/>
      <c r="F351" s="227" t="s">
        <v>682</v>
      </c>
      <c r="G351" s="227" t="s">
        <v>557</v>
      </c>
      <c r="H351" s="227" t="s">
        <v>563</v>
      </c>
      <c r="I351" s="192"/>
      <c r="J351" s="228"/>
    </row>
    <row r="352" spans="1:10" ht="15.75" customHeight="1">
      <c r="A352" s="232">
        <v>1</v>
      </c>
      <c r="B352" s="731">
        <v>2</v>
      </c>
      <c r="C352" s="732"/>
      <c r="D352" s="232">
        <v>3</v>
      </c>
      <c r="E352" s="232">
        <v>4</v>
      </c>
      <c r="F352" s="232">
        <v>5</v>
      </c>
      <c r="G352" s="232">
        <v>6</v>
      </c>
      <c r="H352" s="232">
        <v>7</v>
      </c>
      <c r="I352" s="278"/>
      <c r="J352" s="278"/>
    </row>
    <row r="353" spans="1:10" ht="15.75">
      <c r="A353" s="206"/>
      <c r="B353" s="716"/>
      <c r="C353" s="718"/>
      <c r="D353" s="206"/>
      <c r="E353" s="206"/>
      <c r="F353" s="206"/>
      <c r="G353" s="232"/>
      <c r="H353" s="232"/>
      <c r="I353" s="278"/>
      <c r="J353" s="192"/>
    </row>
    <row r="354" spans="1:10" ht="15.75">
      <c r="A354" s="206"/>
      <c r="B354" s="716"/>
      <c r="C354" s="718"/>
      <c r="D354" s="206"/>
      <c r="E354" s="206"/>
      <c r="F354" s="206"/>
      <c r="G354" s="206"/>
      <c r="H354" s="232"/>
      <c r="I354" s="278"/>
      <c r="J354" s="192"/>
    </row>
    <row r="355" spans="1:10" ht="15.75">
      <c r="A355" s="684" t="s">
        <v>571</v>
      </c>
      <c r="B355" s="735"/>
      <c r="C355" s="685"/>
      <c r="D355" s="200"/>
      <c r="E355" s="200" t="s">
        <v>562</v>
      </c>
      <c r="F355" s="200"/>
      <c r="G355" s="206"/>
      <c r="H355" s="206"/>
      <c r="I355" s="192"/>
      <c r="J355" s="192"/>
    </row>
    <row r="358" spans="1:7" s="318" customFormat="1" ht="18.75">
      <c r="A358" s="316" t="s">
        <v>694</v>
      </c>
      <c r="B358" s="316"/>
      <c r="C358" s="316"/>
      <c r="D358" s="317"/>
      <c r="E358" s="317"/>
      <c r="F358" s="317"/>
      <c r="G358" s="317"/>
    </row>
    <row r="359" spans="1:4" s="318" customFormat="1" ht="15.75">
      <c r="A359" s="319"/>
      <c r="B359" s="320"/>
      <c r="C359" s="320"/>
      <c r="D359" s="321"/>
    </row>
    <row r="360" spans="1:5" s="318" customFormat="1" ht="42" customHeight="1">
      <c r="A360" s="322" t="s">
        <v>545</v>
      </c>
      <c r="B360" s="749" t="s">
        <v>695</v>
      </c>
      <c r="C360" s="749"/>
      <c r="D360" s="323" t="s">
        <v>696</v>
      </c>
      <c r="E360" s="324"/>
    </row>
    <row r="361" spans="1:5" s="318" customFormat="1" ht="24.75" customHeight="1">
      <c r="A361" s="325">
        <v>1</v>
      </c>
      <c r="B361" s="744" t="s">
        <v>697</v>
      </c>
      <c r="C361" s="744"/>
      <c r="D361" s="326">
        <f>J28+G75+G84+G123+H165+G203+F218+F233+G250+F261+G272+F283+F294+E306+G326+G336+G355+G64+G344++H184+G141+G92+J52</f>
        <v>5582347.234969999</v>
      </c>
      <c r="E361" s="324"/>
    </row>
    <row r="362" spans="1:5" s="318" customFormat="1" ht="24.75" customHeight="1">
      <c r="A362" s="325">
        <v>2</v>
      </c>
      <c r="B362" s="744" t="s">
        <v>563</v>
      </c>
      <c r="C362" s="744"/>
      <c r="D362" s="326">
        <f>J33+H75+H84+H123+I165+H203+G218+G233+H250+G261+H272+G283+G294+F306+H326+H336+H355+H64+F314+I184</f>
        <v>1155001.6393779998</v>
      </c>
      <c r="E362" s="515"/>
    </row>
    <row r="363" spans="1:5" s="318" customFormat="1" ht="25.5" customHeight="1">
      <c r="A363" s="745" t="s">
        <v>698</v>
      </c>
      <c r="B363" s="746"/>
      <c r="C363" s="747"/>
      <c r="D363" s="327">
        <f>SUM(D361:D362)</f>
        <v>6737348.874347999</v>
      </c>
      <c r="E363" s="515"/>
    </row>
    <row r="366" spans="1:5" ht="15.75">
      <c r="A366" s="186" t="s">
        <v>699</v>
      </c>
      <c r="C366" s="186" t="s">
        <v>700</v>
      </c>
      <c r="E366" s="186" t="s">
        <v>701</v>
      </c>
    </row>
    <row r="368" spans="1:3" ht="15.75">
      <c r="A368" s="186" t="s">
        <v>13</v>
      </c>
      <c r="C368" s="186" t="s">
        <v>700</v>
      </c>
    </row>
    <row r="369" spans="1:7" s="318" customFormat="1" ht="15.75">
      <c r="A369" s="328"/>
      <c r="B369" s="329"/>
      <c r="C369" s="329"/>
      <c r="D369" s="748"/>
      <c r="E369" s="748"/>
      <c r="F369" s="748"/>
      <c r="G369" s="748"/>
    </row>
  </sheetData>
  <sheetProtection/>
  <mergeCells count="261">
    <mergeCell ref="B362:C362"/>
    <mergeCell ref="A363:C363"/>
    <mergeCell ref="D369:E369"/>
    <mergeCell ref="F369:G369"/>
    <mergeCell ref="B352:C352"/>
    <mergeCell ref="B353:C353"/>
    <mergeCell ref="B354:C354"/>
    <mergeCell ref="A355:C355"/>
    <mergeCell ref="B360:C360"/>
    <mergeCell ref="B361:C361"/>
    <mergeCell ref="F340:H340"/>
    <mergeCell ref="B342:C342"/>
    <mergeCell ref="B343:C343"/>
    <mergeCell ref="A344:C344"/>
    <mergeCell ref="A346:K346"/>
    <mergeCell ref="A350:A351"/>
    <mergeCell ref="B350:C351"/>
    <mergeCell ref="D350:D351"/>
    <mergeCell ref="E350:E351"/>
    <mergeCell ref="F350:H350"/>
    <mergeCell ref="B335:C335"/>
    <mergeCell ref="A336:C336"/>
    <mergeCell ref="A340:A341"/>
    <mergeCell ref="B340:C341"/>
    <mergeCell ref="D340:D341"/>
    <mergeCell ref="E340:E341"/>
    <mergeCell ref="D330:D331"/>
    <mergeCell ref="E330:E331"/>
    <mergeCell ref="F330:H330"/>
    <mergeCell ref="B332:C332"/>
    <mergeCell ref="B333:C333"/>
    <mergeCell ref="B334:C334"/>
    <mergeCell ref="B323:C323"/>
    <mergeCell ref="B324:C324"/>
    <mergeCell ref="B325:C325"/>
    <mergeCell ref="A326:C326"/>
    <mergeCell ref="A330:A331"/>
    <mergeCell ref="B330:C331"/>
    <mergeCell ref="A317:K317"/>
    <mergeCell ref="A321:A322"/>
    <mergeCell ref="B321:C322"/>
    <mergeCell ref="D321:D322"/>
    <mergeCell ref="E321:E322"/>
    <mergeCell ref="F321:H321"/>
    <mergeCell ref="A306:B306"/>
    <mergeCell ref="A310:A311"/>
    <mergeCell ref="B310:B311"/>
    <mergeCell ref="C310:C311"/>
    <mergeCell ref="D310:F310"/>
    <mergeCell ref="A314:B314"/>
    <mergeCell ref="A294:B294"/>
    <mergeCell ref="A296:K296"/>
    <mergeCell ref="A300:A301"/>
    <mergeCell ref="B300:B301"/>
    <mergeCell ref="C300:C301"/>
    <mergeCell ref="D300:F300"/>
    <mergeCell ref="A283:B283"/>
    <mergeCell ref="A285:K285"/>
    <mergeCell ref="A289:A290"/>
    <mergeCell ref="B289:B290"/>
    <mergeCell ref="C289:C290"/>
    <mergeCell ref="D289:D290"/>
    <mergeCell ref="E289:G289"/>
    <mergeCell ref="A272:B272"/>
    <mergeCell ref="A274:K274"/>
    <mergeCell ref="A278:A279"/>
    <mergeCell ref="B278:B279"/>
    <mergeCell ref="C278:C279"/>
    <mergeCell ref="D278:D279"/>
    <mergeCell ref="E278:G278"/>
    <mergeCell ref="A261:B261"/>
    <mergeCell ref="A263:K263"/>
    <mergeCell ref="A267:A268"/>
    <mergeCell ref="B267:B268"/>
    <mergeCell ref="C267:C268"/>
    <mergeCell ref="D267:D268"/>
    <mergeCell ref="E267:E268"/>
    <mergeCell ref="F267:H267"/>
    <mergeCell ref="A250:B250"/>
    <mergeCell ref="A252:K252"/>
    <mergeCell ref="A256:A257"/>
    <mergeCell ref="B256:B257"/>
    <mergeCell ref="C256:C257"/>
    <mergeCell ref="D256:D257"/>
    <mergeCell ref="E256:G256"/>
    <mergeCell ref="A233:B233"/>
    <mergeCell ref="A235:K235"/>
    <mergeCell ref="A237:K237"/>
    <mergeCell ref="A245:A246"/>
    <mergeCell ref="B245:B246"/>
    <mergeCell ref="C245:C246"/>
    <mergeCell ref="D245:D246"/>
    <mergeCell ref="E245:E246"/>
    <mergeCell ref="F245:H245"/>
    <mergeCell ref="A218:B218"/>
    <mergeCell ref="A220:K220"/>
    <mergeCell ref="A222:K222"/>
    <mergeCell ref="A228:A229"/>
    <mergeCell ref="B228:B229"/>
    <mergeCell ref="C228:C229"/>
    <mergeCell ref="D228:D229"/>
    <mergeCell ref="E228:G228"/>
    <mergeCell ref="A208:E208"/>
    <mergeCell ref="A213:A214"/>
    <mergeCell ref="B213:B214"/>
    <mergeCell ref="C213:C214"/>
    <mergeCell ref="D213:D214"/>
    <mergeCell ref="E213:G213"/>
    <mergeCell ref="B200:C200"/>
    <mergeCell ref="B201:C201"/>
    <mergeCell ref="B202:C202"/>
    <mergeCell ref="A203:C203"/>
    <mergeCell ref="A205:K205"/>
    <mergeCell ref="A207:K207"/>
    <mergeCell ref="B182:D182"/>
    <mergeCell ref="B183:D183"/>
    <mergeCell ref="A184:D184"/>
    <mergeCell ref="A190:K190"/>
    <mergeCell ref="A192:K192"/>
    <mergeCell ref="A198:A199"/>
    <mergeCell ref="B198:C199"/>
    <mergeCell ref="D198:D199"/>
    <mergeCell ref="E198:E199"/>
    <mergeCell ref="F198:H198"/>
    <mergeCell ref="B176:D176"/>
    <mergeCell ref="B177:D177"/>
    <mergeCell ref="B178:D178"/>
    <mergeCell ref="B179:D179"/>
    <mergeCell ref="B180:D180"/>
    <mergeCell ref="B181:D181"/>
    <mergeCell ref="A173:A174"/>
    <mergeCell ref="B173:D174"/>
    <mergeCell ref="E173:E174"/>
    <mergeCell ref="F173:F174"/>
    <mergeCell ref="G173:I173"/>
    <mergeCell ref="B175:D175"/>
    <mergeCell ref="B161:D161"/>
    <mergeCell ref="B162:D162"/>
    <mergeCell ref="B163:D163"/>
    <mergeCell ref="B164:D164"/>
    <mergeCell ref="A165:D165"/>
    <mergeCell ref="A167:K167"/>
    <mergeCell ref="B155:D155"/>
    <mergeCell ref="B156:D156"/>
    <mergeCell ref="B157:D157"/>
    <mergeCell ref="B158:D158"/>
    <mergeCell ref="B159:D159"/>
    <mergeCell ref="B160:D160"/>
    <mergeCell ref="A141:D141"/>
    <mergeCell ref="A145:K145"/>
    <mergeCell ref="B146:F146"/>
    <mergeCell ref="A147:K147"/>
    <mergeCell ref="A153:A154"/>
    <mergeCell ref="B153:D154"/>
    <mergeCell ref="E153:E154"/>
    <mergeCell ref="F153:F154"/>
    <mergeCell ref="G153:I153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A123:D123"/>
    <mergeCell ref="B125:I125"/>
    <mergeCell ref="A127:A128"/>
    <mergeCell ref="B127:D128"/>
    <mergeCell ref="E127:E128"/>
    <mergeCell ref="F127:H127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A92:B92"/>
    <mergeCell ref="B94:I94"/>
    <mergeCell ref="A96:A97"/>
    <mergeCell ref="B96:D97"/>
    <mergeCell ref="E96:E97"/>
    <mergeCell ref="F96:H96"/>
    <mergeCell ref="A84:B84"/>
    <mergeCell ref="B86:F86"/>
    <mergeCell ref="A88:A89"/>
    <mergeCell ref="B88:B89"/>
    <mergeCell ref="C88:C89"/>
    <mergeCell ref="D88:D89"/>
    <mergeCell ref="E88:E89"/>
    <mergeCell ref="F88:H88"/>
    <mergeCell ref="A75:B75"/>
    <mergeCell ref="B77:F77"/>
    <mergeCell ref="A79:A80"/>
    <mergeCell ref="B79:B80"/>
    <mergeCell ref="C79:C80"/>
    <mergeCell ref="D79:D80"/>
    <mergeCell ref="E79:E80"/>
    <mergeCell ref="F79:H79"/>
    <mergeCell ref="A64:B64"/>
    <mergeCell ref="B68:I68"/>
    <mergeCell ref="A70:A71"/>
    <mergeCell ref="B70:B71"/>
    <mergeCell ref="C70:C71"/>
    <mergeCell ref="D70:D71"/>
    <mergeCell ref="E70:E71"/>
    <mergeCell ref="F70:H70"/>
    <mergeCell ref="B56:K56"/>
    <mergeCell ref="B57:G57"/>
    <mergeCell ref="A59:A60"/>
    <mergeCell ref="B59:B60"/>
    <mergeCell ref="C59:C60"/>
    <mergeCell ref="D59:D60"/>
    <mergeCell ref="E59:E60"/>
    <mergeCell ref="F59:H59"/>
    <mergeCell ref="I38:I40"/>
    <mergeCell ref="J38:J40"/>
    <mergeCell ref="K38:K40"/>
    <mergeCell ref="E39:G39"/>
    <mergeCell ref="A52:B52"/>
    <mergeCell ref="A55:K55"/>
    <mergeCell ref="I12:I14"/>
    <mergeCell ref="J12:J14"/>
    <mergeCell ref="K12:K14"/>
    <mergeCell ref="E13:G13"/>
    <mergeCell ref="A34:B34"/>
    <mergeCell ref="A38:A40"/>
    <mergeCell ref="B38:B40"/>
    <mergeCell ref="C38:C40"/>
    <mergeCell ref="D38:G38"/>
    <mergeCell ref="H38:H40"/>
    <mergeCell ref="B115:D115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4" manualBreakCount="4">
    <brk id="67" max="255" man="1"/>
    <brk id="123" max="255" man="1"/>
    <brk id="205" max="255" man="1"/>
    <brk id="2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17"/>
  <sheetViews>
    <sheetView view="pageBreakPreview" zoomScale="60" zoomScalePageLayoutView="0" workbookViewId="0" topLeftCell="A1">
      <selection activeCell="D312" sqref="D312"/>
    </sheetView>
  </sheetViews>
  <sheetFormatPr defaultColWidth="9.140625" defaultRowHeight="15"/>
  <cols>
    <col min="1" max="1" width="9.140625" style="186" customWidth="1"/>
    <col min="2" max="2" width="18.00390625" style="187" customWidth="1"/>
    <col min="3" max="3" width="20.57421875" style="186" customWidth="1"/>
    <col min="4" max="4" width="21.28125" style="186" customWidth="1"/>
    <col min="5" max="5" width="22.8515625" style="186" customWidth="1"/>
    <col min="6" max="6" width="26.00390625" style="186" customWidth="1"/>
    <col min="7" max="7" width="20.421875" style="186" customWidth="1"/>
    <col min="8" max="8" width="16.28125" style="186" customWidth="1"/>
    <col min="9" max="9" width="19.57421875" style="186" customWidth="1"/>
    <col min="10" max="10" width="23.00390625" style="186" customWidth="1"/>
    <col min="11" max="11" width="24.421875" style="186" customWidth="1"/>
    <col min="12" max="12" width="18.00390625" style="186" bestFit="1" customWidth="1"/>
    <col min="13" max="16384" width="9.140625" style="186" customWidth="1"/>
  </cols>
  <sheetData>
    <row r="1" spans="5:6" ht="15.75" customHeight="1">
      <c r="E1" s="655"/>
      <c r="F1" s="655"/>
    </row>
    <row r="2" spans="1:26" s="190" customFormat="1" ht="40.5" customHeight="1">
      <c r="A2" s="656" t="s">
        <v>539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s="190" customFormat="1" ht="15.75" customHeight="1">
      <c r="B3" s="657" t="s">
        <v>852</v>
      </c>
      <c r="C3" s="657"/>
      <c r="D3" s="657"/>
      <c r="E3" s="657"/>
      <c r="F3" s="657"/>
      <c r="G3" s="657"/>
      <c r="H3" s="657"/>
      <c r="I3" s="657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162" ht="20.25" customHeight="1">
      <c r="A4" s="658" t="s">
        <v>540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2:31" ht="15.75" customHeight="1">
      <c r="B5" s="18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customHeight="1">
      <c r="B6" s="186" t="s">
        <v>541</v>
      </c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31" ht="15.75" customHeight="1">
      <c r="B7" s="18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2:31" ht="15.75" customHeight="1">
      <c r="B8" s="186" t="s">
        <v>714</v>
      </c>
      <c r="D8" s="193" t="s">
        <v>715</v>
      </c>
      <c r="E8" s="193"/>
      <c r="F8" s="193"/>
      <c r="G8" s="193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2:31" ht="15.75" customHeight="1">
      <c r="B9" s="18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5.75" customHeight="1">
      <c r="B10" s="194" t="s">
        <v>544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2:31" ht="15.75" customHeight="1">
      <c r="B11" s="186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83" ht="48" customHeight="1">
      <c r="A12" s="659" t="s">
        <v>545</v>
      </c>
      <c r="B12" s="660" t="s">
        <v>546</v>
      </c>
      <c r="C12" s="660" t="s">
        <v>547</v>
      </c>
      <c r="D12" s="663" t="s">
        <v>548</v>
      </c>
      <c r="E12" s="664"/>
      <c r="F12" s="664"/>
      <c r="G12" s="665"/>
      <c r="H12" s="666" t="s">
        <v>549</v>
      </c>
      <c r="I12" s="666" t="s">
        <v>550</v>
      </c>
      <c r="J12" s="666" t="s">
        <v>551</v>
      </c>
      <c r="K12" s="669" t="s">
        <v>552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2"/>
      <c r="BY12" s="192"/>
      <c r="BZ12" s="192"/>
      <c r="CA12" s="192"/>
      <c r="CB12" s="192"/>
      <c r="CC12" s="192"/>
      <c r="CD12" s="192"/>
      <c r="CE12" s="192"/>
    </row>
    <row r="13" spans="1:73" ht="15.75" customHeight="1">
      <c r="A13" s="659"/>
      <c r="B13" s="661"/>
      <c r="C13" s="661"/>
      <c r="D13" s="196" t="s">
        <v>36</v>
      </c>
      <c r="E13" s="670" t="s">
        <v>4</v>
      </c>
      <c r="F13" s="671"/>
      <c r="G13" s="671"/>
      <c r="H13" s="667"/>
      <c r="I13" s="667"/>
      <c r="J13" s="667"/>
      <c r="K13" s="669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31" ht="46.5" customHeight="1">
      <c r="A14" s="659"/>
      <c r="B14" s="662"/>
      <c r="C14" s="662"/>
      <c r="D14" s="198"/>
      <c r="E14" s="199" t="s">
        <v>553</v>
      </c>
      <c r="F14" s="199" t="s">
        <v>554</v>
      </c>
      <c r="G14" s="197" t="s">
        <v>555</v>
      </c>
      <c r="H14" s="668"/>
      <c r="I14" s="668"/>
      <c r="J14" s="668"/>
      <c r="K14" s="669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2"/>
      <c r="AB14" s="192"/>
      <c r="AC14" s="192"/>
      <c r="AD14" s="192"/>
      <c r="AE14" s="192"/>
    </row>
    <row r="15" spans="1:31" ht="15.75" customHeight="1">
      <c r="A15" s="200">
        <v>1</v>
      </c>
      <c r="B15" s="201">
        <v>2</v>
      </c>
      <c r="C15" s="201">
        <v>3</v>
      </c>
      <c r="D15" s="202">
        <v>4</v>
      </c>
      <c r="E15" s="203">
        <v>5</v>
      </c>
      <c r="F15" s="204">
        <v>6</v>
      </c>
      <c r="G15" s="201">
        <v>7</v>
      </c>
      <c r="H15" s="201">
        <v>8</v>
      </c>
      <c r="I15" s="201">
        <v>9</v>
      </c>
      <c r="J15" s="204">
        <v>10</v>
      </c>
      <c r="K15" s="204">
        <v>11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2"/>
      <c r="AB15" s="192"/>
      <c r="AC15" s="192"/>
      <c r="AD15" s="192"/>
      <c r="AE15" s="192"/>
    </row>
    <row r="16" spans="1:31" ht="15.75" customHeight="1">
      <c r="A16" s="206"/>
      <c r="B16" s="346" t="s">
        <v>556</v>
      </c>
      <c r="C16" s="330">
        <v>4</v>
      </c>
      <c r="D16" s="330">
        <f>1782.7+4999.97</f>
        <v>6782.67</v>
      </c>
      <c r="E16" s="239"/>
      <c r="F16" s="239"/>
      <c r="G16" s="330"/>
      <c r="H16" s="330"/>
      <c r="I16" s="330">
        <v>1.15</v>
      </c>
      <c r="J16" s="239">
        <f aca="true" t="shared" si="0" ref="J16:J23">(C16*D16*(1+H16/100)*I16*12)</f>
        <v>374403.38399999996</v>
      </c>
      <c r="K16" s="347" t="s">
        <v>716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ht="15.75" customHeight="1">
      <c r="A17" s="206"/>
      <c r="B17" s="346" t="s">
        <v>558</v>
      </c>
      <c r="C17" s="330">
        <v>3</v>
      </c>
      <c r="D17" s="330">
        <f>1782.7+5000</f>
        <v>6782.7</v>
      </c>
      <c r="E17" s="239"/>
      <c r="F17" s="239"/>
      <c r="G17" s="330"/>
      <c r="H17" s="330"/>
      <c r="I17" s="330">
        <v>1.15</v>
      </c>
      <c r="J17" s="239">
        <f t="shared" si="0"/>
        <v>280803.7799999999</v>
      </c>
      <c r="K17" s="347" t="s">
        <v>716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</row>
    <row r="18" spans="1:31" ht="15.75" customHeight="1">
      <c r="A18" s="206"/>
      <c r="B18" s="346" t="s">
        <v>559</v>
      </c>
      <c r="C18" s="330">
        <v>44</v>
      </c>
      <c r="D18" s="330">
        <f>3060+3103.13</f>
        <v>6163.13</v>
      </c>
      <c r="E18" s="239"/>
      <c r="F18" s="239"/>
      <c r="G18" s="330"/>
      <c r="H18" s="330"/>
      <c r="I18" s="330">
        <v>1.15</v>
      </c>
      <c r="J18" s="239">
        <f t="shared" si="0"/>
        <v>3742252.5360000003</v>
      </c>
      <c r="K18" s="347" t="s">
        <v>716</v>
      </c>
      <c r="L18" s="560">
        <f>J16+J17+J18+J19</f>
        <v>4495864.74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</row>
    <row r="19" spans="1:31" ht="15.75" customHeight="1">
      <c r="A19" s="206"/>
      <c r="B19" s="346" t="s">
        <v>560</v>
      </c>
      <c r="C19" s="330">
        <v>4</v>
      </c>
      <c r="D19" s="330">
        <v>1782.7</v>
      </c>
      <c r="E19" s="239"/>
      <c r="F19" s="239"/>
      <c r="G19" s="330"/>
      <c r="H19" s="330"/>
      <c r="I19" s="330">
        <v>1.15</v>
      </c>
      <c r="J19" s="239">
        <f t="shared" si="0"/>
        <v>98405.04000000001</v>
      </c>
      <c r="K19" s="347" t="s">
        <v>716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</row>
    <row r="20" spans="1:31" ht="15.75" customHeight="1">
      <c r="A20" s="206"/>
      <c r="B20" s="346" t="s">
        <v>556</v>
      </c>
      <c r="C20" s="330">
        <v>2</v>
      </c>
      <c r="D20" s="330">
        <f>SUM(E20:H20)</f>
        <v>6123.37</v>
      </c>
      <c r="E20" s="330">
        <v>6123.37</v>
      </c>
      <c r="F20" s="203">
        <v>0</v>
      </c>
      <c r="G20" s="215">
        <v>0</v>
      </c>
      <c r="H20" s="215">
        <v>0</v>
      </c>
      <c r="I20" s="215">
        <v>1.15</v>
      </c>
      <c r="J20" s="239">
        <f t="shared" si="0"/>
        <v>169005.012</v>
      </c>
      <c r="K20" s="347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</row>
    <row r="21" spans="1:31" ht="15.75" customHeight="1">
      <c r="A21" s="206"/>
      <c r="B21" s="346" t="s">
        <v>558</v>
      </c>
      <c r="C21" s="330">
        <v>10</v>
      </c>
      <c r="D21" s="330">
        <f>SUM(E21:H21)</f>
        <v>4236.51</v>
      </c>
      <c r="E21" s="330">
        <v>4236.51</v>
      </c>
      <c r="F21" s="203">
        <v>0</v>
      </c>
      <c r="G21" s="215">
        <v>0</v>
      </c>
      <c r="H21" s="215">
        <v>0</v>
      </c>
      <c r="I21" s="215">
        <v>1.15</v>
      </c>
      <c r="J21" s="239">
        <f t="shared" si="0"/>
        <v>584638.3800000001</v>
      </c>
      <c r="K21" s="347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</row>
    <row r="22" spans="1:31" ht="15.75" customHeight="1">
      <c r="A22" s="206"/>
      <c r="B22" s="346" t="s">
        <v>559</v>
      </c>
      <c r="C22" s="330">
        <v>5</v>
      </c>
      <c r="D22" s="330">
        <f>SUM(E22:H22)</f>
        <v>3674.99</v>
      </c>
      <c r="E22" s="330">
        <v>3674.99</v>
      </c>
      <c r="F22" s="203">
        <v>0</v>
      </c>
      <c r="G22" s="215">
        <v>0</v>
      </c>
      <c r="H22" s="215">
        <v>0</v>
      </c>
      <c r="I22" s="215">
        <v>1.15</v>
      </c>
      <c r="J22" s="239">
        <f t="shared" si="0"/>
        <v>253574.30999999994</v>
      </c>
      <c r="K22" s="347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</row>
    <row r="23" spans="1:31" ht="15.75" customHeight="1">
      <c r="A23" s="206"/>
      <c r="B23" s="346" t="s">
        <v>560</v>
      </c>
      <c r="C23" s="330">
        <v>5</v>
      </c>
      <c r="D23" s="330">
        <f>SUM(E23:H23)</f>
        <v>3204.09</v>
      </c>
      <c r="E23" s="330">
        <v>3204.09</v>
      </c>
      <c r="F23" s="203">
        <v>0</v>
      </c>
      <c r="G23" s="215">
        <v>0</v>
      </c>
      <c r="H23" s="215">
        <v>0</v>
      </c>
      <c r="I23" s="215">
        <v>1.15</v>
      </c>
      <c r="J23" s="239">
        <f t="shared" si="0"/>
        <v>221082.20999999996</v>
      </c>
      <c r="K23" s="347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 ht="15.75" customHeight="1">
      <c r="A24" s="206"/>
      <c r="B24" s="346" t="s">
        <v>561</v>
      </c>
      <c r="C24" s="202" t="s">
        <v>562</v>
      </c>
      <c r="D24" s="202"/>
      <c r="E24" s="203" t="s">
        <v>562</v>
      </c>
      <c r="F24" s="203" t="s">
        <v>562</v>
      </c>
      <c r="G24" s="215" t="s">
        <v>562</v>
      </c>
      <c r="H24" s="215" t="s">
        <v>562</v>
      </c>
      <c r="I24" s="215" t="s">
        <v>562</v>
      </c>
      <c r="J24" s="350">
        <f>SUM(J20:J23)</f>
        <v>1228299.912</v>
      </c>
      <c r="K24" s="347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31" ht="15.75" customHeight="1">
      <c r="A25" s="206"/>
      <c r="B25" s="346"/>
      <c r="C25" s="330"/>
      <c r="D25" s="330"/>
      <c r="E25" s="239"/>
      <c r="F25" s="239"/>
      <c r="G25" s="330"/>
      <c r="H25" s="330"/>
      <c r="I25" s="330"/>
      <c r="J25" s="239"/>
      <c r="K25" s="347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</row>
    <row r="26" spans="1:31" ht="15.75" customHeight="1">
      <c r="A26" s="206"/>
      <c r="B26" s="348" t="s">
        <v>561</v>
      </c>
      <c r="C26" s="349" t="s">
        <v>562</v>
      </c>
      <c r="D26" s="349"/>
      <c r="E26" s="350" t="s">
        <v>562</v>
      </c>
      <c r="F26" s="350" t="s">
        <v>562</v>
      </c>
      <c r="G26" s="349" t="s">
        <v>562</v>
      </c>
      <c r="H26" s="349" t="s">
        <v>562</v>
      </c>
      <c r="I26" s="349" t="s">
        <v>562</v>
      </c>
      <c r="J26" s="351">
        <f>SUM(J16:J19)+J24</f>
        <v>5724164.652000001</v>
      </c>
      <c r="K26" s="352" t="s">
        <v>562</v>
      </c>
      <c r="L26" s="394">
        <f>F94+J26</f>
        <v>7452862.302000001</v>
      </c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</row>
    <row r="27" spans="1:11" ht="15.75" customHeight="1">
      <c r="A27" s="192"/>
      <c r="B27" s="220"/>
      <c r="C27" s="221"/>
      <c r="D27" s="220"/>
      <c r="E27" s="220"/>
      <c r="F27" s="220"/>
      <c r="G27" s="220"/>
      <c r="H27" s="220"/>
      <c r="I27" s="220"/>
      <c r="J27" s="222"/>
      <c r="K27" s="223"/>
    </row>
    <row r="28" spans="1:160" ht="15.75" customHeight="1" hidden="1">
      <c r="A28" s="658" t="s">
        <v>921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</row>
    <row r="29" spans="2:29" ht="15.75" customHeight="1" hidden="1">
      <c r="B29" s="186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</row>
    <row r="30" spans="2:29" ht="15.75" customHeight="1" hidden="1">
      <c r="B30" s="186" t="s">
        <v>541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</row>
    <row r="31" spans="2:29" ht="15.75" customHeight="1" hidden="1">
      <c r="B31" s="186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2:29" ht="15.75" customHeight="1" hidden="1">
      <c r="B32" s="186" t="s">
        <v>714</v>
      </c>
      <c r="D32" s="193" t="s">
        <v>715</v>
      </c>
      <c r="E32" s="193"/>
      <c r="F32" s="193"/>
      <c r="G32" s="193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2:29" ht="15.75" customHeight="1" hidden="1">
      <c r="B33" s="186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</row>
    <row r="34" spans="2:29" ht="15.75" customHeight="1" hidden="1">
      <c r="B34" s="194" t="s">
        <v>544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</row>
    <row r="35" spans="2:29" ht="15.75" customHeight="1" hidden="1">
      <c r="B35" s="186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</row>
    <row r="36" spans="1:81" ht="15.75" customHeight="1" hidden="1">
      <c r="A36" s="659" t="s">
        <v>545</v>
      </c>
      <c r="B36" s="660" t="s">
        <v>546</v>
      </c>
      <c r="C36" s="660" t="s">
        <v>547</v>
      </c>
      <c r="D36" s="663" t="s">
        <v>548</v>
      </c>
      <c r="E36" s="664"/>
      <c r="F36" s="664"/>
      <c r="G36" s="665"/>
      <c r="H36" s="666" t="s">
        <v>549</v>
      </c>
      <c r="I36" s="666" t="s">
        <v>550</v>
      </c>
      <c r="J36" s="666" t="s">
        <v>551</v>
      </c>
      <c r="K36" s="669" t="s">
        <v>552</v>
      </c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2"/>
      <c r="BW36" s="192"/>
      <c r="BX36" s="192"/>
      <c r="BY36" s="192"/>
      <c r="BZ36" s="192"/>
      <c r="CA36" s="192"/>
      <c r="CB36" s="192"/>
      <c r="CC36" s="192"/>
    </row>
    <row r="37" spans="1:71" ht="15.75" customHeight="1" hidden="1">
      <c r="A37" s="659"/>
      <c r="B37" s="661"/>
      <c r="C37" s="661"/>
      <c r="D37" s="196" t="s">
        <v>36</v>
      </c>
      <c r="E37" s="670" t="s">
        <v>4</v>
      </c>
      <c r="F37" s="671"/>
      <c r="G37" s="671"/>
      <c r="H37" s="667"/>
      <c r="I37" s="667"/>
      <c r="J37" s="667"/>
      <c r="K37" s="669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</row>
    <row r="38" spans="1:29" ht="15.75" customHeight="1" hidden="1">
      <c r="A38" s="659"/>
      <c r="B38" s="662"/>
      <c r="C38" s="662"/>
      <c r="D38" s="198"/>
      <c r="E38" s="199" t="s">
        <v>553</v>
      </c>
      <c r="F38" s="199" t="s">
        <v>554</v>
      </c>
      <c r="G38" s="197" t="s">
        <v>555</v>
      </c>
      <c r="H38" s="668"/>
      <c r="I38" s="668"/>
      <c r="J38" s="668"/>
      <c r="K38" s="669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2"/>
      <c r="Z38" s="192"/>
      <c r="AA38" s="192"/>
      <c r="AB38" s="192"/>
      <c r="AC38" s="192"/>
    </row>
    <row r="39" spans="1:29" ht="15.75" customHeight="1" hidden="1">
      <c r="A39" s="200">
        <v>1</v>
      </c>
      <c r="B39" s="201">
        <v>2</v>
      </c>
      <c r="C39" s="201">
        <v>3</v>
      </c>
      <c r="D39" s="202">
        <v>4</v>
      </c>
      <c r="E39" s="203">
        <v>5</v>
      </c>
      <c r="F39" s="204">
        <v>6</v>
      </c>
      <c r="G39" s="201">
        <v>7</v>
      </c>
      <c r="H39" s="201">
        <v>8</v>
      </c>
      <c r="I39" s="201">
        <v>9</v>
      </c>
      <c r="J39" s="204">
        <v>10</v>
      </c>
      <c r="K39" s="204">
        <v>11</v>
      </c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192"/>
      <c r="Z39" s="192"/>
      <c r="AA39" s="192"/>
      <c r="AB39" s="192"/>
      <c r="AC39" s="192"/>
    </row>
    <row r="40" spans="1:29" ht="15.75" customHeight="1" hidden="1">
      <c r="A40" s="206"/>
      <c r="B40" s="346" t="s">
        <v>556</v>
      </c>
      <c r="C40" s="330">
        <v>2</v>
      </c>
      <c r="D40" s="330">
        <f>SUM(E40:H40)</f>
        <v>6123.37</v>
      </c>
      <c r="E40" s="330">
        <v>6123.37</v>
      </c>
      <c r="F40" s="203">
        <v>0</v>
      </c>
      <c r="G40" s="215">
        <v>0</v>
      </c>
      <c r="H40" s="215">
        <v>0</v>
      </c>
      <c r="I40" s="215">
        <v>1.15</v>
      </c>
      <c r="J40" s="239"/>
      <c r="K40" s="211" t="s">
        <v>716</v>
      </c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</row>
    <row r="41" spans="1:29" ht="15.75" customHeight="1" hidden="1">
      <c r="A41" s="206"/>
      <c r="B41" s="346" t="s">
        <v>558</v>
      </c>
      <c r="C41" s="330">
        <v>10</v>
      </c>
      <c r="D41" s="330">
        <f>SUM(E41:H41)</f>
        <v>4236.51</v>
      </c>
      <c r="E41" s="330">
        <v>4236.51</v>
      </c>
      <c r="F41" s="203">
        <v>0</v>
      </c>
      <c r="G41" s="215">
        <v>0</v>
      </c>
      <c r="H41" s="215">
        <v>0</v>
      </c>
      <c r="I41" s="215">
        <v>1.15</v>
      </c>
      <c r="J41" s="239"/>
      <c r="K41" s="211" t="s">
        <v>716</v>
      </c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</row>
    <row r="42" spans="1:29" ht="15.75" customHeight="1" hidden="1">
      <c r="A42" s="206"/>
      <c r="B42" s="346" t="s">
        <v>559</v>
      </c>
      <c r="C42" s="330">
        <v>5</v>
      </c>
      <c r="D42" s="330">
        <f>SUM(E42:H42)</f>
        <v>3674.99</v>
      </c>
      <c r="E42" s="330">
        <v>3674.99</v>
      </c>
      <c r="F42" s="203">
        <v>0</v>
      </c>
      <c r="G42" s="215">
        <v>0</v>
      </c>
      <c r="H42" s="215">
        <v>0</v>
      </c>
      <c r="I42" s="215">
        <v>1.15</v>
      </c>
      <c r="J42" s="239"/>
      <c r="K42" s="211" t="s">
        <v>716</v>
      </c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</row>
    <row r="43" spans="1:29" ht="15.75" customHeight="1" hidden="1">
      <c r="A43" s="206"/>
      <c r="B43" s="346" t="s">
        <v>560</v>
      </c>
      <c r="C43" s="330">
        <v>5</v>
      </c>
      <c r="D43" s="330">
        <f>SUM(E43:H43)</f>
        <v>3204.09</v>
      </c>
      <c r="E43" s="330">
        <v>3204.09</v>
      </c>
      <c r="F43" s="203">
        <v>0</v>
      </c>
      <c r="G43" s="215">
        <v>0</v>
      </c>
      <c r="H43" s="215">
        <v>0</v>
      </c>
      <c r="I43" s="215">
        <v>1.15</v>
      </c>
      <c r="J43" s="239"/>
      <c r="K43" s="211" t="s">
        <v>716</v>
      </c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</row>
    <row r="44" spans="1:29" ht="15.75" customHeight="1" hidden="1">
      <c r="A44" s="206"/>
      <c r="B44" s="346" t="s">
        <v>561</v>
      </c>
      <c r="C44" s="202" t="s">
        <v>562</v>
      </c>
      <c r="D44" s="202"/>
      <c r="E44" s="203" t="s">
        <v>562</v>
      </c>
      <c r="F44" s="203" t="s">
        <v>562</v>
      </c>
      <c r="G44" s="215" t="s">
        <v>562</v>
      </c>
      <c r="H44" s="215" t="s">
        <v>562</v>
      </c>
      <c r="I44" s="215" t="s">
        <v>562</v>
      </c>
      <c r="J44" s="239"/>
      <c r="K44" s="203" t="s">
        <v>562</v>
      </c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</row>
    <row r="45" spans="1:11" ht="15.75" customHeight="1" hidden="1">
      <c r="A45" s="672" t="s">
        <v>561</v>
      </c>
      <c r="B45" s="673"/>
      <c r="C45" s="520"/>
      <c r="D45" s="217"/>
      <c r="E45" s="217"/>
      <c r="F45" s="217"/>
      <c r="G45" s="217"/>
      <c r="H45" s="217"/>
      <c r="I45" s="217"/>
      <c r="J45" s="351">
        <f>J44</f>
        <v>0</v>
      </c>
      <c r="K45" s="219"/>
    </row>
    <row r="46" spans="1:11" ht="208.5" customHeight="1">
      <c r="A46" s="674" t="s">
        <v>564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</row>
    <row r="47" spans="2:11" ht="15.75" customHeight="1">
      <c r="B47" s="675"/>
      <c r="C47" s="675"/>
      <c r="D47" s="675"/>
      <c r="E47" s="675"/>
      <c r="F47" s="675"/>
      <c r="G47" s="675"/>
      <c r="H47" s="675"/>
      <c r="I47" s="675"/>
      <c r="J47" s="675"/>
      <c r="K47" s="675"/>
    </row>
    <row r="48" spans="2:9" ht="21" customHeight="1">
      <c r="B48" s="676" t="s">
        <v>565</v>
      </c>
      <c r="C48" s="676"/>
      <c r="D48" s="676"/>
      <c r="E48" s="676"/>
      <c r="F48" s="676"/>
      <c r="G48" s="676"/>
      <c r="H48" s="676"/>
      <c r="I48" s="676"/>
    </row>
    <row r="50" spans="1:9" ht="45" customHeight="1">
      <c r="A50" s="677" t="s">
        <v>545</v>
      </c>
      <c r="B50" s="679" t="s">
        <v>566</v>
      </c>
      <c r="C50" s="679" t="s">
        <v>567</v>
      </c>
      <c r="D50" s="679" t="s">
        <v>568</v>
      </c>
      <c r="E50" s="679" t="s">
        <v>569</v>
      </c>
      <c r="F50" s="227" t="s">
        <v>717</v>
      </c>
      <c r="G50" s="353"/>
      <c r="H50" s="353"/>
      <c r="I50" s="226"/>
    </row>
    <row r="51" spans="1:9" ht="39.75" customHeight="1">
      <c r="A51" s="678"/>
      <c r="B51" s="680"/>
      <c r="C51" s="680"/>
      <c r="D51" s="680"/>
      <c r="E51" s="680"/>
      <c r="F51" s="269" t="s">
        <v>718</v>
      </c>
      <c r="G51" s="354"/>
      <c r="H51" s="353"/>
      <c r="I51" s="228"/>
    </row>
    <row r="52" spans="1:9" ht="15.75">
      <c r="A52" s="206">
        <v>1</v>
      </c>
      <c r="B52" s="229">
        <v>2</v>
      </c>
      <c r="C52" s="229">
        <v>3</v>
      </c>
      <c r="D52" s="229">
        <v>4</v>
      </c>
      <c r="E52" s="229">
        <v>5</v>
      </c>
      <c r="F52" s="229">
        <v>6</v>
      </c>
      <c r="G52" s="231"/>
      <c r="H52" s="231"/>
      <c r="I52" s="231"/>
    </row>
    <row r="53" spans="1:9" ht="15.75">
      <c r="A53" s="206"/>
      <c r="B53" s="200"/>
      <c r="C53" s="206"/>
      <c r="D53" s="206"/>
      <c r="E53" s="206"/>
      <c r="F53" s="355"/>
      <c r="G53" s="278"/>
      <c r="H53" s="278"/>
      <c r="I53" s="192"/>
    </row>
    <row r="54" spans="1:9" ht="15.75">
      <c r="A54" s="206"/>
      <c r="B54" s="200"/>
      <c r="C54" s="206"/>
      <c r="D54" s="206"/>
      <c r="E54" s="206"/>
      <c r="F54" s="356"/>
      <c r="G54" s="278"/>
      <c r="H54" s="278"/>
      <c r="I54" s="192"/>
    </row>
    <row r="55" spans="1:9" ht="15.75">
      <c r="A55" s="684" t="s">
        <v>571</v>
      </c>
      <c r="B55" s="685"/>
      <c r="C55" s="200" t="s">
        <v>562</v>
      </c>
      <c r="D55" s="200" t="s">
        <v>562</v>
      </c>
      <c r="E55" s="200" t="s">
        <v>562</v>
      </c>
      <c r="F55" s="356">
        <f>SUM(F53:F54)</f>
        <v>0</v>
      </c>
      <c r="G55" s="278"/>
      <c r="H55" s="278"/>
      <c r="I55" s="192"/>
    </row>
    <row r="57" spans="2:6" ht="15.75">
      <c r="B57" s="686" t="s">
        <v>572</v>
      </c>
      <c r="C57" s="686"/>
      <c r="D57" s="686"/>
      <c r="E57" s="686"/>
      <c r="F57" s="686"/>
    </row>
    <row r="59" spans="1:9" ht="39.75" customHeight="1">
      <c r="A59" s="677" t="s">
        <v>545</v>
      </c>
      <c r="B59" s="679" t="s">
        <v>566</v>
      </c>
      <c r="C59" s="679" t="s">
        <v>573</v>
      </c>
      <c r="D59" s="679" t="s">
        <v>574</v>
      </c>
      <c r="E59" s="679" t="s">
        <v>575</v>
      </c>
      <c r="F59" s="227" t="s">
        <v>717</v>
      </c>
      <c r="G59" s="353"/>
      <c r="H59" s="353"/>
      <c r="I59" s="226"/>
    </row>
    <row r="60" spans="1:9" ht="39" customHeight="1">
      <c r="A60" s="678"/>
      <c r="B60" s="680"/>
      <c r="C60" s="680"/>
      <c r="D60" s="680"/>
      <c r="E60" s="680"/>
      <c r="F60" s="269" t="s">
        <v>718</v>
      </c>
      <c r="G60" s="354"/>
      <c r="H60" s="353"/>
      <c r="I60" s="228"/>
    </row>
    <row r="61" spans="1:9" ht="15.75">
      <c r="A61" s="206">
        <v>1</v>
      </c>
      <c r="B61" s="229">
        <v>2</v>
      </c>
      <c r="C61" s="229">
        <v>3</v>
      </c>
      <c r="D61" s="229">
        <v>4</v>
      </c>
      <c r="E61" s="229">
        <v>5</v>
      </c>
      <c r="F61" s="229">
        <v>6</v>
      </c>
      <c r="G61" s="231"/>
      <c r="H61" s="231"/>
      <c r="I61" s="231"/>
    </row>
    <row r="62" spans="1:9" ht="15.75">
      <c r="A62" s="206"/>
      <c r="B62" s="200"/>
      <c r="C62" s="206"/>
      <c r="D62" s="206"/>
      <c r="E62" s="206"/>
      <c r="F62" s="355"/>
      <c r="G62" s="278"/>
      <c r="H62" s="278"/>
      <c r="I62" s="192"/>
    </row>
    <row r="63" spans="1:9" ht="15.75">
      <c r="A63" s="206"/>
      <c r="B63" s="200"/>
      <c r="C63" s="206"/>
      <c r="D63" s="206"/>
      <c r="E63" s="206"/>
      <c r="F63" s="356"/>
      <c r="G63" s="278"/>
      <c r="H63" s="278"/>
      <c r="I63" s="192"/>
    </row>
    <row r="64" spans="1:9" ht="15.75">
      <c r="A64" s="684" t="s">
        <v>571</v>
      </c>
      <c r="B64" s="685"/>
      <c r="C64" s="200" t="s">
        <v>562</v>
      </c>
      <c r="D64" s="200" t="s">
        <v>562</v>
      </c>
      <c r="E64" s="200" t="s">
        <v>562</v>
      </c>
      <c r="F64" s="356">
        <f>SUM(F62:F63)</f>
        <v>0</v>
      </c>
      <c r="G64" s="278"/>
      <c r="H64" s="278"/>
      <c r="I64" s="192"/>
    </row>
    <row r="66" spans="2:9" ht="33" customHeight="1">
      <c r="B66" s="688" t="s">
        <v>576</v>
      </c>
      <c r="C66" s="688"/>
      <c r="D66" s="688"/>
      <c r="E66" s="688"/>
      <c r="F66" s="688"/>
      <c r="G66" s="688"/>
      <c r="H66" s="688"/>
      <c r="I66" s="688"/>
    </row>
    <row r="68" spans="1:9" ht="31.5" customHeight="1">
      <c r="A68" s="689" t="s">
        <v>545</v>
      </c>
      <c r="B68" s="687" t="s">
        <v>577</v>
      </c>
      <c r="C68" s="687"/>
      <c r="D68" s="687"/>
      <c r="E68" s="679" t="s">
        <v>578</v>
      </c>
      <c r="F68" s="227" t="s">
        <v>579</v>
      </c>
      <c r="G68" s="353"/>
      <c r="H68" s="353"/>
      <c r="I68" s="234"/>
    </row>
    <row r="69" spans="1:9" ht="31.5" customHeight="1">
      <c r="A69" s="690"/>
      <c r="B69" s="687"/>
      <c r="C69" s="687"/>
      <c r="D69" s="687"/>
      <c r="E69" s="680"/>
      <c r="F69" s="269" t="s">
        <v>718</v>
      </c>
      <c r="G69" s="354"/>
      <c r="H69" s="353"/>
      <c r="I69" s="228"/>
    </row>
    <row r="70" spans="1:9" ht="17.25" customHeight="1">
      <c r="A70" s="235">
        <v>1</v>
      </c>
      <c r="B70" s="691">
        <v>2</v>
      </c>
      <c r="C70" s="691"/>
      <c r="D70" s="691"/>
      <c r="E70" s="200">
        <v>3</v>
      </c>
      <c r="F70" s="200">
        <v>4</v>
      </c>
      <c r="G70" s="237"/>
      <c r="H70" s="237"/>
      <c r="I70" s="237"/>
    </row>
    <row r="71" spans="1:9" s="188" customFormat="1" ht="32.25" customHeight="1">
      <c r="A71" s="238">
        <v>1</v>
      </c>
      <c r="B71" s="649" t="s">
        <v>581</v>
      </c>
      <c r="C71" s="650"/>
      <c r="D71" s="651"/>
      <c r="E71" s="232" t="s">
        <v>562</v>
      </c>
      <c r="F71" s="355"/>
      <c r="G71" s="278"/>
      <c r="H71" s="278"/>
      <c r="I71" s="192"/>
    </row>
    <row r="72" spans="1:9" ht="34.5" customHeight="1">
      <c r="A72" s="238" t="s">
        <v>582</v>
      </c>
      <c r="B72" s="649" t="s">
        <v>583</v>
      </c>
      <c r="C72" s="650"/>
      <c r="D72" s="651"/>
      <c r="E72" s="239">
        <f>L18</f>
        <v>4495864.74</v>
      </c>
      <c r="F72" s="239">
        <f>ROUND(E72*22%,2)-0.19</f>
        <v>989090.05</v>
      </c>
      <c r="G72" s="192"/>
      <c r="H72" s="192"/>
      <c r="I72" s="192"/>
    </row>
    <row r="73" spans="1:9" ht="16.5" customHeight="1">
      <c r="A73" s="238" t="s">
        <v>584</v>
      </c>
      <c r="B73" s="649" t="s">
        <v>585</v>
      </c>
      <c r="C73" s="650"/>
      <c r="D73" s="651"/>
      <c r="E73" s="240">
        <v>0</v>
      </c>
      <c r="F73" s="239">
        <f aca="true" t="shared" si="1" ref="F73:F80">E73*22%</f>
        <v>0</v>
      </c>
      <c r="G73" s="192"/>
      <c r="H73" s="192"/>
      <c r="I73" s="192"/>
    </row>
    <row r="74" spans="1:9" ht="34.5" customHeight="1">
      <c r="A74" s="238" t="s">
        <v>586</v>
      </c>
      <c r="B74" s="649" t="s">
        <v>587</v>
      </c>
      <c r="C74" s="650"/>
      <c r="D74" s="651"/>
      <c r="E74" s="240">
        <v>0</v>
      </c>
      <c r="F74" s="239">
        <f t="shared" si="1"/>
        <v>0</v>
      </c>
      <c r="G74" s="192"/>
      <c r="H74" s="192"/>
      <c r="I74" s="192"/>
    </row>
    <row r="75" spans="1:9" ht="33" customHeight="1">
      <c r="A75" s="238" t="s">
        <v>588</v>
      </c>
      <c r="B75" s="649" t="s">
        <v>589</v>
      </c>
      <c r="C75" s="650"/>
      <c r="D75" s="651"/>
      <c r="E75" s="240" t="s">
        <v>562</v>
      </c>
      <c r="F75" s="239">
        <v>0</v>
      </c>
      <c r="G75" s="192"/>
      <c r="H75" s="192"/>
      <c r="I75" s="192"/>
    </row>
    <row r="76" spans="1:9" ht="41.25" customHeight="1">
      <c r="A76" s="238" t="s">
        <v>590</v>
      </c>
      <c r="B76" s="652" t="s">
        <v>591</v>
      </c>
      <c r="C76" s="653"/>
      <c r="D76" s="654"/>
      <c r="E76" s="239">
        <f>E72</f>
        <v>4495864.74</v>
      </c>
      <c r="F76" s="239">
        <f>ROUND(E76*2.9%,2)</f>
        <v>130380.08</v>
      </c>
      <c r="G76" s="192"/>
      <c r="H76" s="192"/>
      <c r="I76" s="192"/>
    </row>
    <row r="77" spans="1:9" ht="34.5" customHeight="1">
      <c r="A77" s="238" t="s">
        <v>592</v>
      </c>
      <c r="B77" s="649" t="s">
        <v>593</v>
      </c>
      <c r="C77" s="650"/>
      <c r="D77" s="651"/>
      <c r="E77" s="240">
        <v>0</v>
      </c>
      <c r="F77" s="239">
        <f t="shared" si="1"/>
        <v>0</v>
      </c>
      <c r="G77" s="192"/>
      <c r="H77" s="192"/>
      <c r="I77" s="192"/>
    </row>
    <row r="78" spans="1:9" ht="33.75" customHeight="1">
      <c r="A78" s="238" t="s">
        <v>594</v>
      </c>
      <c r="B78" s="649" t="s">
        <v>595</v>
      </c>
      <c r="C78" s="650"/>
      <c r="D78" s="651"/>
      <c r="E78" s="239">
        <f>E76</f>
        <v>4495864.74</v>
      </c>
      <c r="F78" s="239">
        <f>ROUND(E78*0.2%,2)</f>
        <v>8991.73</v>
      </c>
      <c r="G78" s="192"/>
      <c r="H78" s="192"/>
      <c r="I78" s="192"/>
    </row>
    <row r="79" spans="1:9" ht="33.75" customHeight="1">
      <c r="A79" s="238" t="s">
        <v>596</v>
      </c>
      <c r="B79" s="649" t="s">
        <v>597</v>
      </c>
      <c r="C79" s="650"/>
      <c r="D79" s="651"/>
      <c r="E79" s="240">
        <v>0</v>
      </c>
      <c r="F79" s="239">
        <f t="shared" si="1"/>
        <v>0</v>
      </c>
      <c r="G79" s="192"/>
      <c r="H79" s="192"/>
      <c r="I79" s="192"/>
    </row>
    <row r="80" spans="1:9" ht="39.75" customHeight="1">
      <c r="A80" s="238" t="s">
        <v>598</v>
      </c>
      <c r="B80" s="649" t="s">
        <v>597</v>
      </c>
      <c r="C80" s="650"/>
      <c r="D80" s="651"/>
      <c r="E80" s="240">
        <v>0</v>
      </c>
      <c r="F80" s="239">
        <f t="shared" si="1"/>
        <v>0</v>
      </c>
      <c r="G80" s="192"/>
      <c r="H80" s="192"/>
      <c r="I80" s="192"/>
    </row>
    <row r="81" spans="1:9" ht="30" customHeight="1">
      <c r="A81" s="238" t="s">
        <v>599</v>
      </c>
      <c r="B81" s="649" t="s">
        <v>600</v>
      </c>
      <c r="C81" s="650"/>
      <c r="D81" s="651"/>
      <c r="E81" s="239">
        <f>E78</f>
        <v>4495864.74</v>
      </c>
      <c r="F81" s="239">
        <f>ROUND(E81*5.1%,2)</f>
        <v>229289.1</v>
      </c>
      <c r="G81" s="192"/>
      <c r="H81" s="192"/>
      <c r="I81" s="192"/>
    </row>
    <row r="82" spans="1:9" ht="30" customHeight="1">
      <c r="A82" s="238"/>
      <c r="B82" s="649" t="s">
        <v>581</v>
      </c>
      <c r="C82" s="650"/>
      <c r="D82" s="651"/>
      <c r="E82" s="232" t="s">
        <v>562</v>
      </c>
      <c r="F82" s="355">
        <f>SUM(F83)</f>
        <v>270225.98</v>
      </c>
      <c r="G82" s="192"/>
      <c r="H82" s="192"/>
      <c r="I82" s="192"/>
    </row>
    <row r="83" spans="1:9" ht="30" customHeight="1">
      <c r="A83" s="238"/>
      <c r="B83" s="649" t="s">
        <v>583</v>
      </c>
      <c r="C83" s="650"/>
      <c r="D83" s="651"/>
      <c r="E83" s="232">
        <v>1228299.91</v>
      </c>
      <c r="F83" s="355">
        <v>270225.98</v>
      </c>
      <c r="G83" s="192"/>
      <c r="H83" s="192"/>
      <c r="I83" s="192"/>
    </row>
    <row r="84" spans="1:9" ht="30" customHeight="1">
      <c r="A84" s="238"/>
      <c r="B84" s="649" t="s">
        <v>585</v>
      </c>
      <c r="C84" s="650"/>
      <c r="D84" s="651"/>
      <c r="E84" s="206"/>
      <c r="F84" s="355"/>
      <c r="G84" s="192"/>
      <c r="H84" s="192"/>
      <c r="I84" s="192"/>
    </row>
    <row r="85" spans="1:9" ht="30" customHeight="1">
      <c r="A85" s="238"/>
      <c r="B85" s="649" t="s">
        <v>587</v>
      </c>
      <c r="C85" s="650"/>
      <c r="D85" s="651"/>
      <c r="E85" s="206"/>
      <c r="F85" s="355"/>
      <c r="G85" s="192"/>
      <c r="H85" s="192"/>
      <c r="I85" s="192"/>
    </row>
    <row r="86" spans="1:9" ht="30" customHeight="1">
      <c r="A86" s="238"/>
      <c r="B86" s="649" t="s">
        <v>589</v>
      </c>
      <c r="C86" s="650"/>
      <c r="D86" s="651"/>
      <c r="E86" s="232" t="s">
        <v>562</v>
      </c>
      <c r="F86" s="355">
        <f>SUM(F87+F89)</f>
        <v>38077.409999999996</v>
      </c>
      <c r="G86" s="192"/>
      <c r="H86" s="192"/>
      <c r="I86" s="192"/>
    </row>
    <row r="87" spans="1:9" ht="30" customHeight="1">
      <c r="A87" s="238"/>
      <c r="B87" s="649" t="s">
        <v>591</v>
      </c>
      <c r="C87" s="650"/>
      <c r="D87" s="651"/>
      <c r="E87" s="232">
        <v>1228299.91</v>
      </c>
      <c r="F87" s="355">
        <v>35620.81</v>
      </c>
      <c r="G87" s="192"/>
      <c r="H87" s="192"/>
      <c r="I87" s="192"/>
    </row>
    <row r="88" spans="1:9" ht="30" customHeight="1">
      <c r="A88" s="238"/>
      <c r="B88" s="649" t="s">
        <v>593</v>
      </c>
      <c r="C88" s="650"/>
      <c r="D88" s="651"/>
      <c r="E88" s="206"/>
      <c r="F88" s="355"/>
      <c r="G88" s="192"/>
      <c r="H88" s="192"/>
      <c r="I88" s="192"/>
    </row>
    <row r="89" spans="1:9" ht="30" customHeight="1">
      <c r="A89" s="238"/>
      <c r="B89" s="649" t="s">
        <v>595</v>
      </c>
      <c r="C89" s="650"/>
      <c r="D89" s="651"/>
      <c r="E89" s="232">
        <v>1228299.91</v>
      </c>
      <c r="F89" s="355">
        <v>2456.6</v>
      </c>
      <c r="G89" s="192"/>
      <c r="H89" s="192"/>
      <c r="I89" s="192"/>
    </row>
    <row r="90" spans="1:9" ht="30" customHeight="1">
      <c r="A90" s="238"/>
      <c r="B90" s="649" t="s">
        <v>597</v>
      </c>
      <c r="C90" s="650"/>
      <c r="D90" s="651"/>
      <c r="E90" s="206"/>
      <c r="F90" s="355"/>
      <c r="G90" s="192"/>
      <c r="H90" s="192"/>
      <c r="I90" s="192"/>
    </row>
    <row r="91" spans="1:9" ht="30" customHeight="1">
      <c r="A91" s="238"/>
      <c r="B91" s="649" t="s">
        <v>597</v>
      </c>
      <c r="C91" s="650"/>
      <c r="D91" s="651"/>
      <c r="E91" s="206"/>
      <c r="F91" s="355"/>
      <c r="G91" s="192"/>
      <c r="H91" s="192"/>
      <c r="I91" s="192"/>
    </row>
    <row r="92" spans="1:9" ht="30" customHeight="1">
      <c r="A92" s="238"/>
      <c r="B92" s="649" t="s">
        <v>600</v>
      </c>
      <c r="C92" s="650"/>
      <c r="D92" s="651"/>
      <c r="E92" s="232">
        <v>1228299.91</v>
      </c>
      <c r="F92" s="355">
        <v>62643.3</v>
      </c>
      <c r="G92" s="192"/>
      <c r="H92" s="192"/>
      <c r="I92" s="192"/>
    </row>
    <row r="93" spans="1:9" ht="30" customHeight="1">
      <c r="A93" s="238"/>
      <c r="B93" s="557"/>
      <c r="C93" s="558"/>
      <c r="D93" s="559"/>
      <c r="E93" s="239"/>
      <c r="F93" s="239"/>
      <c r="G93" s="192"/>
      <c r="H93" s="192"/>
      <c r="I93" s="192"/>
    </row>
    <row r="94" spans="1:9" ht="30.75" customHeight="1">
      <c r="A94" s="692" t="s">
        <v>571</v>
      </c>
      <c r="B94" s="692"/>
      <c r="C94" s="692"/>
      <c r="D94" s="692"/>
      <c r="E94" s="240" t="s">
        <v>562</v>
      </c>
      <c r="F94" s="241">
        <f>SUM(F72:F81)+F82+F86+F92</f>
        <v>1728697.6500000001</v>
      </c>
      <c r="G94" s="357"/>
      <c r="H94" s="357"/>
      <c r="I94" s="192"/>
    </row>
    <row r="95" spans="2:6" ht="16.5" customHeight="1">
      <c r="B95" s="243"/>
      <c r="C95" s="243"/>
      <c r="D95" s="243"/>
      <c r="E95" s="237"/>
      <c r="F95" s="192"/>
    </row>
    <row r="96" spans="2:9" ht="34.5" customHeight="1" hidden="1">
      <c r="B96" s="688" t="s">
        <v>855</v>
      </c>
      <c r="C96" s="688"/>
      <c r="D96" s="688"/>
      <c r="E96" s="688"/>
      <c r="F96" s="688"/>
      <c r="G96" s="688"/>
      <c r="H96" s="688"/>
      <c r="I96" s="688"/>
    </row>
    <row r="97" ht="16.5" customHeight="1" hidden="1"/>
    <row r="98" spans="1:9" ht="16.5" customHeight="1" hidden="1">
      <c r="A98" s="689" t="s">
        <v>545</v>
      </c>
      <c r="B98" s="687" t="s">
        <v>577</v>
      </c>
      <c r="C98" s="687"/>
      <c r="D98" s="687"/>
      <c r="E98" s="679" t="s">
        <v>578</v>
      </c>
      <c r="F98" s="227" t="s">
        <v>579</v>
      </c>
      <c r="G98" s="353"/>
      <c r="H98" s="353"/>
      <c r="I98" s="234"/>
    </row>
    <row r="99" spans="1:9" ht="16.5" customHeight="1" hidden="1">
      <c r="A99" s="690"/>
      <c r="B99" s="687"/>
      <c r="C99" s="687"/>
      <c r="D99" s="687"/>
      <c r="E99" s="680"/>
      <c r="F99" s="269" t="s">
        <v>718</v>
      </c>
      <c r="G99" s="354"/>
      <c r="H99" s="353"/>
      <c r="I99" s="228"/>
    </row>
    <row r="100" spans="1:9" ht="16.5" customHeight="1" hidden="1">
      <c r="A100" s="235">
        <v>1</v>
      </c>
      <c r="B100" s="691">
        <v>2</v>
      </c>
      <c r="C100" s="691"/>
      <c r="D100" s="691"/>
      <c r="E100" s="200">
        <v>3</v>
      </c>
      <c r="F100" s="200">
        <v>4</v>
      </c>
      <c r="G100" s="237"/>
      <c r="H100" s="237"/>
      <c r="I100" s="237"/>
    </row>
    <row r="101" spans="1:9" s="188" customFormat="1" ht="19.5" customHeight="1" hidden="1">
      <c r="A101" s="238">
        <v>1</v>
      </c>
      <c r="B101" s="649" t="s">
        <v>581</v>
      </c>
      <c r="C101" s="650"/>
      <c r="D101" s="651"/>
      <c r="E101" s="232" t="s">
        <v>562</v>
      </c>
      <c r="F101" s="355"/>
      <c r="G101" s="278"/>
      <c r="H101" s="278"/>
      <c r="I101" s="192"/>
    </row>
    <row r="102" spans="1:9" ht="33" customHeight="1" hidden="1">
      <c r="A102" s="238" t="s">
        <v>582</v>
      </c>
      <c r="B102" s="649" t="s">
        <v>583</v>
      </c>
      <c r="C102" s="650"/>
      <c r="D102" s="651"/>
      <c r="E102" s="232">
        <v>1228299.91</v>
      </c>
      <c r="F102" s="355"/>
      <c r="G102" s="192"/>
      <c r="H102" s="192"/>
      <c r="I102" s="192"/>
    </row>
    <row r="103" spans="1:9" ht="15.75" hidden="1">
      <c r="A103" s="238" t="s">
        <v>584</v>
      </c>
      <c r="B103" s="649" t="s">
        <v>585</v>
      </c>
      <c r="C103" s="650"/>
      <c r="D103" s="651"/>
      <c r="E103" s="206"/>
      <c r="F103" s="355"/>
      <c r="G103" s="192"/>
      <c r="H103" s="192"/>
      <c r="I103" s="192"/>
    </row>
    <row r="104" spans="1:9" ht="39.75" customHeight="1" hidden="1">
      <c r="A104" s="238" t="s">
        <v>586</v>
      </c>
      <c r="B104" s="649" t="s">
        <v>587</v>
      </c>
      <c r="C104" s="650"/>
      <c r="D104" s="651"/>
      <c r="E104" s="206"/>
      <c r="F104" s="355"/>
      <c r="G104" s="192"/>
      <c r="H104" s="192"/>
      <c r="I104" s="192"/>
    </row>
    <row r="105" spans="1:9" ht="36" customHeight="1" hidden="1">
      <c r="A105" s="238" t="s">
        <v>588</v>
      </c>
      <c r="B105" s="649" t="s">
        <v>589</v>
      </c>
      <c r="C105" s="650"/>
      <c r="D105" s="651"/>
      <c r="E105" s="232" t="s">
        <v>562</v>
      </c>
      <c r="F105" s="355"/>
      <c r="G105" s="192"/>
      <c r="H105" s="192"/>
      <c r="I105" s="192"/>
    </row>
    <row r="106" spans="1:9" ht="45" customHeight="1" hidden="1">
      <c r="A106" s="238" t="s">
        <v>590</v>
      </c>
      <c r="B106" s="649" t="s">
        <v>591</v>
      </c>
      <c r="C106" s="650"/>
      <c r="D106" s="651"/>
      <c r="E106" s="232">
        <v>1228299.91</v>
      </c>
      <c r="F106" s="355"/>
      <c r="G106" s="192"/>
      <c r="H106" s="192"/>
      <c r="I106" s="192"/>
    </row>
    <row r="107" spans="1:9" ht="27" customHeight="1" hidden="1">
      <c r="A107" s="238" t="s">
        <v>592</v>
      </c>
      <c r="B107" s="649" t="s">
        <v>593</v>
      </c>
      <c r="C107" s="650"/>
      <c r="D107" s="651"/>
      <c r="E107" s="206"/>
      <c r="F107" s="355"/>
      <c r="G107" s="192"/>
      <c r="H107" s="192"/>
      <c r="I107" s="192"/>
    </row>
    <row r="108" spans="1:9" ht="25.5" customHeight="1" hidden="1">
      <c r="A108" s="238" t="s">
        <v>594</v>
      </c>
      <c r="B108" s="649" t="s">
        <v>595</v>
      </c>
      <c r="C108" s="650"/>
      <c r="D108" s="651"/>
      <c r="E108" s="232">
        <v>1228299.91</v>
      </c>
      <c r="F108" s="355"/>
      <c r="G108" s="192"/>
      <c r="H108" s="192"/>
      <c r="I108" s="192"/>
    </row>
    <row r="109" spans="1:9" ht="30.75" customHeight="1" hidden="1">
      <c r="A109" s="238" t="s">
        <v>596</v>
      </c>
      <c r="B109" s="649" t="s">
        <v>597</v>
      </c>
      <c r="C109" s="650"/>
      <c r="D109" s="651"/>
      <c r="E109" s="206"/>
      <c r="F109" s="355"/>
      <c r="G109" s="192"/>
      <c r="H109" s="192"/>
      <c r="I109" s="192"/>
    </row>
    <row r="110" spans="1:9" ht="33" customHeight="1" hidden="1">
      <c r="A110" s="238" t="s">
        <v>598</v>
      </c>
      <c r="B110" s="649" t="s">
        <v>597</v>
      </c>
      <c r="C110" s="650"/>
      <c r="D110" s="651"/>
      <c r="E110" s="206"/>
      <c r="F110" s="355"/>
      <c r="G110" s="192"/>
      <c r="H110" s="192"/>
      <c r="I110" s="192"/>
    </row>
    <row r="111" spans="1:9" ht="30.75" customHeight="1" hidden="1">
      <c r="A111" s="238" t="s">
        <v>599</v>
      </c>
      <c r="B111" s="649" t="s">
        <v>600</v>
      </c>
      <c r="C111" s="650"/>
      <c r="D111" s="651"/>
      <c r="E111" s="232">
        <v>1228299.91</v>
      </c>
      <c r="F111" s="355"/>
      <c r="G111" s="192"/>
      <c r="H111" s="192"/>
      <c r="I111" s="192"/>
    </row>
    <row r="112" spans="1:9" ht="16.5" customHeight="1" hidden="1">
      <c r="A112" s="692" t="s">
        <v>571</v>
      </c>
      <c r="B112" s="692"/>
      <c r="C112" s="692"/>
      <c r="D112" s="692"/>
      <c r="E112" s="200" t="s">
        <v>562</v>
      </c>
      <c r="F112" s="374">
        <f>F101+F105+F111</f>
        <v>0</v>
      </c>
      <c r="G112" s="357"/>
      <c r="H112" s="357"/>
      <c r="I112" s="192"/>
    </row>
    <row r="113" spans="2:6" ht="16.5" customHeight="1">
      <c r="B113" s="243"/>
      <c r="C113" s="243"/>
      <c r="D113" s="243"/>
      <c r="E113" s="237"/>
      <c r="F113" s="192"/>
    </row>
    <row r="114" spans="2:6" ht="16.5" customHeight="1">
      <c r="B114" s="243"/>
      <c r="C114" s="243"/>
      <c r="D114" s="243"/>
      <c r="E114" s="237"/>
      <c r="F114" s="192"/>
    </row>
    <row r="115" spans="1:11" ht="99" customHeight="1">
      <c r="A115" s="693" t="s">
        <v>601</v>
      </c>
      <c r="B115" s="693"/>
      <c r="C115" s="693"/>
      <c r="D115" s="693"/>
      <c r="E115" s="693"/>
      <c r="F115" s="693"/>
      <c r="G115" s="693"/>
      <c r="H115" s="693"/>
      <c r="I115" s="693"/>
      <c r="J115" s="693"/>
      <c r="K115" s="693"/>
    </row>
    <row r="116" spans="2:6" ht="21" customHeight="1">
      <c r="B116" s="694"/>
      <c r="C116" s="694"/>
      <c r="D116" s="694"/>
      <c r="E116" s="694"/>
      <c r="F116" s="694"/>
    </row>
    <row r="117" spans="1:11" s="245" customFormat="1" ht="27" customHeight="1">
      <c r="A117" s="695" t="s">
        <v>602</v>
      </c>
      <c r="B117" s="695"/>
      <c r="C117" s="695"/>
      <c r="D117" s="695"/>
      <c r="E117" s="695"/>
      <c r="F117" s="695"/>
      <c r="G117" s="695"/>
      <c r="H117" s="695"/>
      <c r="I117" s="695"/>
      <c r="J117" s="695"/>
      <c r="K117" s="695"/>
    </row>
    <row r="118" spans="1:11" s="245" customFormat="1" ht="16.5" customHeight="1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31" ht="15.75" customHeight="1">
      <c r="B119" s="186" t="s">
        <v>603</v>
      </c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2:31" ht="15.75" customHeight="1">
      <c r="B120" s="186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2:31" ht="15.75" customHeight="1">
      <c r="B121" s="186" t="s">
        <v>714</v>
      </c>
      <c r="D121" s="193" t="s">
        <v>715</v>
      </c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2:31" ht="15.75" customHeight="1">
      <c r="B122" s="186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9" s="245" customFormat="1" ht="33.75" customHeight="1">
      <c r="A123" s="689" t="s">
        <v>545</v>
      </c>
      <c r="B123" s="696" t="s">
        <v>1</v>
      </c>
      <c r="C123" s="696"/>
      <c r="D123" s="696"/>
      <c r="E123" s="696" t="s">
        <v>605</v>
      </c>
      <c r="F123" s="696" t="s">
        <v>606</v>
      </c>
      <c r="G123" s="227" t="s">
        <v>579</v>
      </c>
      <c r="H123" s="353"/>
      <c r="I123" s="353"/>
    </row>
    <row r="124" spans="1:49" s="245" customFormat="1" ht="51" customHeight="1">
      <c r="A124" s="690"/>
      <c r="B124" s="696"/>
      <c r="C124" s="696"/>
      <c r="D124" s="696"/>
      <c r="E124" s="696"/>
      <c r="F124" s="696"/>
      <c r="G124" s="227" t="s">
        <v>719</v>
      </c>
      <c r="H124" s="353"/>
      <c r="I124" s="353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</row>
    <row r="125" spans="1:49" s="245" customFormat="1" ht="15.75">
      <c r="A125" s="248">
        <v>1</v>
      </c>
      <c r="B125" s="697">
        <v>2</v>
      </c>
      <c r="C125" s="697"/>
      <c r="D125" s="697"/>
      <c r="E125" s="248">
        <v>3</v>
      </c>
      <c r="F125" s="249">
        <v>4</v>
      </c>
      <c r="G125" s="250">
        <v>4</v>
      </c>
      <c r="H125" s="358"/>
      <c r="I125" s="358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</row>
    <row r="126" spans="1:49" s="245" customFormat="1" ht="32.25" customHeight="1">
      <c r="A126" s="252" t="s">
        <v>608</v>
      </c>
      <c r="B126" s="698"/>
      <c r="C126" s="698"/>
      <c r="D126" s="698"/>
      <c r="E126" s="253"/>
      <c r="F126" s="254"/>
      <c r="G126" s="355"/>
      <c r="H126" s="278"/>
      <c r="I126" s="278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</row>
    <row r="127" spans="1:49" s="245" customFormat="1" ht="30.75" customHeight="1">
      <c r="A127" s="252" t="s">
        <v>588</v>
      </c>
      <c r="B127" s="698"/>
      <c r="C127" s="698"/>
      <c r="D127" s="698"/>
      <c r="E127" s="253"/>
      <c r="F127" s="254"/>
      <c r="G127" s="355"/>
      <c r="H127" s="278"/>
      <c r="I127" s="278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</row>
    <row r="128" spans="1:49" s="245" customFormat="1" ht="15.75">
      <c r="A128" s="723" t="s">
        <v>561</v>
      </c>
      <c r="B128" s="757"/>
      <c r="C128" s="757"/>
      <c r="D128" s="724"/>
      <c r="E128" s="253" t="s">
        <v>562</v>
      </c>
      <c r="F128" s="255" t="s">
        <v>562</v>
      </c>
      <c r="G128" s="265">
        <f>SUM(G126:G127)</f>
        <v>0</v>
      </c>
      <c r="H128" s="278"/>
      <c r="I128" s="278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</row>
    <row r="129" spans="6:49" s="245" customFormat="1" ht="15.75"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</row>
    <row r="130" spans="1:49" s="245" customFormat="1" ht="69" customHeight="1">
      <c r="A130" s="702" t="s">
        <v>609</v>
      </c>
      <c r="B130" s="702"/>
      <c r="C130" s="702"/>
      <c r="D130" s="702"/>
      <c r="E130" s="702"/>
      <c r="F130" s="702"/>
      <c r="G130" s="702"/>
      <c r="H130" s="702"/>
      <c r="I130" s="702"/>
      <c r="J130" s="702"/>
      <c r="K130" s="702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</row>
    <row r="131" s="245" customFormat="1" ht="15.75"/>
    <row r="132" spans="1:11" ht="15.75" customHeight="1">
      <c r="A132" s="695" t="s">
        <v>610</v>
      </c>
      <c r="B132" s="695"/>
      <c r="C132" s="695"/>
      <c r="D132" s="695"/>
      <c r="E132" s="695"/>
      <c r="F132" s="695"/>
      <c r="G132" s="695"/>
      <c r="H132" s="695"/>
      <c r="I132" s="695"/>
      <c r="J132" s="695"/>
      <c r="K132" s="695"/>
    </row>
    <row r="133" spans="1:11" ht="15.75" customHeight="1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</row>
    <row r="134" spans="2:31" ht="15.75" customHeight="1">
      <c r="B134" s="186" t="s">
        <v>720</v>
      </c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2:31" ht="15.75" customHeight="1">
      <c r="B135" s="186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2:31" ht="15.75" customHeight="1">
      <c r="B136" s="186" t="s">
        <v>714</v>
      </c>
      <c r="D136" s="193" t="s">
        <v>715</v>
      </c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4" ht="15.75" customHeight="1">
      <c r="A137" s="194"/>
      <c r="B137" s="194"/>
      <c r="C137" s="194"/>
      <c r="D137" s="194"/>
    </row>
    <row r="138" spans="1:8" ht="33.75" customHeight="1">
      <c r="A138" s="689" t="s">
        <v>545</v>
      </c>
      <c r="B138" s="687" t="s">
        <v>612</v>
      </c>
      <c r="C138" s="687"/>
      <c r="D138" s="679" t="s">
        <v>613</v>
      </c>
      <c r="E138" s="679" t="s">
        <v>614</v>
      </c>
      <c r="F138" s="758" t="s">
        <v>579</v>
      </c>
      <c r="G138" s="759"/>
      <c r="H138" s="359"/>
    </row>
    <row r="139" spans="1:8" ht="69" customHeight="1">
      <c r="A139" s="690"/>
      <c r="B139" s="687"/>
      <c r="C139" s="687"/>
      <c r="D139" s="680"/>
      <c r="E139" s="680"/>
      <c r="F139" s="227" t="s">
        <v>721</v>
      </c>
      <c r="G139" s="227" t="s">
        <v>722</v>
      </c>
      <c r="H139" s="353"/>
    </row>
    <row r="140" spans="1:8" ht="15.75">
      <c r="A140" s="259">
        <v>1</v>
      </c>
      <c r="B140" s="706">
        <v>2</v>
      </c>
      <c r="C140" s="706"/>
      <c r="D140" s="259">
        <v>3</v>
      </c>
      <c r="E140" s="259">
        <v>4</v>
      </c>
      <c r="F140" s="259">
        <v>5</v>
      </c>
      <c r="G140" s="259">
        <v>6</v>
      </c>
      <c r="H140" s="360"/>
    </row>
    <row r="141" spans="1:8" ht="15.75">
      <c r="A141" s="200">
        <v>1</v>
      </c>
      <c r="B141" s="707" t="s">
        <v>616</v>
      </c>
      <c r="C141" s="707"/>
      <c r="D141" s="261">
        <v>195145.33</v>
      </c>
      <c r="E141" s="261">
        <v>1.5</v>
      </c>
      <c r="F141" s="232"/>
      <c r="G141" s="361">
        <f>ROUND(D141*E141,0.2)</f>
        <v>292718</v>
      </c>
      <c r="H141" s="362"/>
    </row>
    <row r="142" spans="1:8" ht="15.75">
      <c r="A142" s="200">
        <v>2</v>
      </c>
      <c r="B142" s="707" t="s">
        <v>617</v>
      </c>
      <c r="C142" s="707"/>
      <c r="D142" s="263"/>
      <c r="E142" s="263"/>
      <c r="F142" s="355"/>
      <c r="G142" s="355"/>
      <c r="H142" s="278"/>
    </row>
    <row r="143" spans="1:8" ht="33.75" customHeight="1">
      <c r="A143" s="200">
        <v>3</v>
      </c>
      <c r="B143" s="708" t="s">
        <v>618</v>
      </c>
      <c r="C143" s="708"/>
      <c r="D143" s="206"/>
      <c r="E143" s="206"/>
      <c r="F143" s="356"/>
      <c r="G143" s="355"/>
      <c r="H143" s="278"/>
    </row>
    <row r="144" spans="1:8" ht="15.75">
      <c r="A144" s="200">
        <v>4</v>
      </c>
      <c r="B144" s="707" t="s">
        <v>723</v>
      </c>
      <c r="C144" s="707"/>
      <c r="D144" s="206"/>
      <c r="E144" s="264"/>
      <c r="F144" s="356"/>
      <c r="G144" s="355">
        <v>3000</v>
      </c>
      <c r="H144" s="278"/>
    </row>
    <row r="145" spans="1:8" ht="15.75">
      <c r="A145" s="200">
        <v>5</v>
      </c>
      <c r="B145" s="760" t="s">
        <v>724</v>
      </c>
      <c r="C145" s="761"/>
      <c r="D145" s="206"/>
      <c r="E145" s="264"/>
      <c r="F145" s="356"/>
      <c r="G145" s="355">
        <f>20000+9000</f>
        <v>29000</v>
      </c>
      <c r="H145" s="278"/>
    </row>
    <row r="146" spans="1:8" ht="15.75">
      <c r="A146" s="200">
        <v>6</v>
      </c>
      <c r="B146" s="762" t="s">
        <v>616</v>
      </c>
      <c r="C146" s="762"/>
      <c r="D146" s="553">
        <v>79280149.9</v>
      </c>
      <c r="E146" s="553">
        <v>1.5</v>
      </c>
      <c r="F146" s="363">
        <v>0</v>
      </c>
      <c r="G146" s="363">
        <v>107028</v>
      </c>
      <c r="H146" s="278"/>
    </row>
    <row r="147" spans="1:8" ht="15.75">
      <c r="A147" s="235">
        <v>7</v>
      </c>
      <c r="B147" s="762" t="s">
        <v>617</v>
      </c>
      <c r="C147" s="762"/>
      <c r="D147" s="553" t="s">
        <v>754</v>
      </c>
      <c r="E147" s="553" t="s">
        <v>754</v>
      </c>
      <c r="F147" s="363">
        <v>0</v>
      </c>
      <c r="G147" s="363">
        <v>0</v>
      </c>
      <c r="H147" s="278"/>
    </row>
    <row r="148" spans="1:8" ht="15.75">
      <c r="A148" s="235">
        <v>8</v>
      </c>
      <c r="B148" s="769" t="s">
        <v>922</v>
      </c>
      <c r="C148" s="769"/>
      <c r="D148" s="406" t="s">
        <v>754</v>
      </c>
      <c r="E148" s="406" t="s">
        <v>754</v>
      </c>
      <c r="F148" s="363">
        <v>0</v>
      </c>
      <c r="G148" s="363">
        <v>30000</v>
      </c>
      <c r="H148" s="278"/>
    </row>
    <row r="149" spans="1:8" ht="15.75">
      <c r="A149" s="235"/>
      <c r="B149" s="552"/>
      <c r="C149" s="548"/>
      <c r="D149" s="206"/>
      <c r="E149" s="264"/>
      <c r="F149" s="356"/>
      <c r="G149" s="355"/>
      <c r="H149" s="278"/>
    </row>
    <row r="150" spans="1:8" ht="15.75">
      <c r="A150" s="709" t="s">
        <v>561</v>
      </c>
      <c r="B150" s="710"/>
      <c r="C150" s="711"/>
      <c r="D150" s="275"/>
      <c r="E150" s="266" t="s">
        <v>562</v>
      </c>
      <c r="F150" s="356"/>
      <c r="G150" s="363">
        <f>SUM(G141:G148)</f>
        <v>461746</v>
      </c>
      <c r="H150" s="278"/>
    </row>
    <row r="151" spans="1:7" ht="15.75">
      <c r="A151" s="192"/>
      <c r="B151" s="192"/>
      <c r="C151" s="192"/>
      <c r="D151" s="192"/>
      <c r="E151" s="192"/>
      <c r="F151" s="192"/>
      <c r="G151" s="192"/>
    </row>
    <row r="152" spans="1:11" ht="15.75" hidden="1">
      <c r="A152" s="695" t="s">
        <v>856</v>
      </c>
      <c r="B152" s="695"/>
      <c r="C152" s="695"/>
      <c r="D152" s="695"/>
      <c r="E152" s="695"/>
      <c r="F152" s="695"/>
      <c r="G152" s="695"/>
      <c r="H152" s="695"/>
      <c r="I152" s="695"/>
      <c r="J152" s="695"/>
      <c r="K152" s="695"/>
    </row>
    <row r="153" spans="1:11" ht="15.75" hidden="1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</row>
    <row r="154" spans="2:29" ht="15.75" hidden="1">
      <c r="B154" s="186" t="s">
        <v>720</v>
      </c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</row>
    <row r="155" spans="2:29" ht="15.75" hidden="1">
      <c r="B155" s="186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</row>
    <row r="156" spans="2:29" ht="15.75" hidden="1">
      <c r="B156" s="186" t="s">
        <v>714</v>
      </c>
      <c r="D156" s="193" t="s">
        <v>715</v>
      </c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</row>
    <row r="157" spans="1:4" ht="15.75" hidden="1">
      <c r="A157" s="194"/>
      <c r="B157" s="194"/>
      <c r="C157" s="194"/>
      <c r="D157" s="194"/>
    </row>
    <row r="158" spans="1:8" ht="15.75" hidden="1">
      <c r="A158" s="689" t="s">
        <v>545</v>
      </c>
      <c r="B158" s="687" t="s">
        <v>612</v>
      </c>
      <c r="C158" s="687"/>
      <c r="D158" s="679" t="s">
        <v>613</v>
      </c>
      <c r="E158" s="679" t="s">
        <v>614</v>
      </c>
      <c r="F158" s="758" t="s">
        <v>579</v>
      </c>
      <c r="G158" s="759"/>
      <c r="H158" s="359"/>
    </row>
    <row r="159" spans="1:8" ht="78.75" hidden="1">
      <c r="A159" s="690"/>
      <c r="B159" s="687"/>
      <c r="C159" s="687"/>
      <c r="D159" s="680"/>
      <c r="E159" s="680"/>
      <c r="F159" s="227" t="s">
        <v>721</v>
      </c>
      <c r="G159" s="227" t="s">
        <v>722</v>
      </c>
      <c r="H159" s="353"/>
    </row>
    <row r="160" spans="1:8" ht="15.75" hidden="1">
      <c r="A160" s="259">
        <v>1</v>
      </c>
      <c r="B160" s="706">
        <v>2</v>
      </c>
      <c r="C160" s="706"/>
      <c r="D160" s="259">
        <v>3</v>
      </c>
      <c r="E160" s="259">
        <v>4</v>
      </c>
      <c r="F160" s="259">
        <v>5</v>
      </c>
      <c r="G160" s="259">
        <v>6</v>
      </c>
      <c r="H160" s="360"/>
    </row>
    <row r="161" spans="1:8" ht="15.75" hidden="1">
      <c r="A161" s="200">
        <v>1</v>
      </c>
      <c r="B161" s="707" t="s">
        <v>616</v>
      </c>
      <c r="C161" s="707"/>
      <c r="D161" s="263">
        <v>79280149.9</v>
      </c>
      <c r="E161" s="263">
        <v>1.5</v>
      </c>
      <c r="F161" s="355">
        <v>0</v>
      </c>
      <c r="G161" s="355"/>
      <c r="H161" s="278"/>
    </row>
    <row r="162" spans="1:8" ht="15.75" hidden="1">
      <c r="A162" s="200">
        <v>2</v>
      </c>
      <c r="B162" s="707" t="s">
        <v>617</v>
      </c>
      <c r="C162" s="707"/>
      <c r="D162" s="263" t="s">
        <v>754</v>
      </c>
      <c r="E162" s="263" t="s">
        <v>754</v>
      </c>
      <c r="F162" s="355">
        <v>0</v>
      </c>
      <c r="G162" s="355"/>
      <c r="H162" s="278"/>
    </row>
    <row r="163" spans="1:8" ht="15.75" hidden="1">
      <c r="A163" s="200">
        <v>3</v>
      </c>
      <c r="B163" s="763" t="s">
        <v>922</v>
      </c>
      <c r="C163" s="763"/>
      <c r="D163" s="232" t="s">
        <v>754</v>
      </c>
      <c r="E163" s="232" t="s">
        <v>754</v>
      </c>
      <c r="F163" s="355">
        <v>0</v>
      </c>
      <c r="G163" s="355"/>
      <c r="H163" s="278"/>
    </row>
    <row r="164" spans="1:8" ht="15.75" hidden="1">
      <c r="A164" s="709" t="s">
        <v>561</v>
      </c>
      <c r="B164" s="710"/>
      <c r="C164" s="711"/>
      <c r="D164" s="275"/>
      <c r="E164" s="266" t="s">
        <v>562</v>
      </c>
      <c r="F164" s="356"/>
      <c r="G164" s="363">
        <f>SUM(G161:G163)</f>
        <v>0</v>
      </c>
      <c r="H164" s="278"/>
    </row>
    <row r="165" spans="1:7" ht="15.75">
      <c r="A165" s="192"/>
      <c r="B165" s="192"/>
      <c r="C165" s="192"/>
      <c r="D165" s="192"/>
      <c r="E165" s="192"/>
      <c r="F165" s="192"/>
      <c r="G165" s="192"/>
    </row>
    <row r="166" spans="1:11" ht="49.5" customHeight="1">
      <c r="A166" s="712" t="s">
        <v>619</v>
      </c>
      <c r="B166" s="712"/>
      <c r="C166" s="712"/>
      <c r="D166" s="712"/>
      <c r="E166" s="712"/>
      <c r="F166" s="712"/>
      <c r="G166" s="712"/>
      <c r="H166" s="712"/>
      <c r="I166" s="712"/>
      <c r="J166" s="712"/>
      <c r="K166" s="712"/>
    </row>
    <row r="167" spans="1:7" ht="15.75">
      <c r="A167" s="192"/>
      <c r="B167" s="192"/>
      <c r="C167" s="192"/>
      <c r="D167" s="192"/>
      <c r="E167" s="192"/>
      <c r="F167" s="192"/>
      <c r="G167" s="192"/>
    </row>
    <row r="168" spans="1:11" ht="15.75">
      <c r="A168" s="713" t="s">
        <v>620</v>
      </c>
      <c r="B168" s="713"/>
      <c r="C168" s="713"/>
      <c r="D168" s="713"/>
      <c r="E168" s="713"/>
      <c r="F168" s="713"/>
      <c r="G168" s="713"/>
      <c r="H168" s="713"/>
      <c r="I168" s="713"/>
      <c r="J168" s="713"/>
      <c r="K168" s="713"/>
    </row>
    <row r="169" spans="1:7" ht="17.25" customHeight="1">
      <c r="A169" s="714" t="s">
        <v>621</v>
      </c>
      <c r="B169" s="714"/>
      <c r="C169" s="714"/>
      <c r="D169" s="714"/>
      <c r="E169" s="714"/>
      <c r="F169" s="192"/>
      <c r="G169" s="192"/>
    </row>
    <row r="170" spans="2:31" ht="15.75" customHeight="1">
      <c r="B170" s="186" t="s">
        <v>713</v>
      </c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</row>
    <row r="171" spans="2:31" ht="15.75" customHeight="1">
      <c r="B171" s="186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</row>
    <row r="172" spans="2:31" ht="15.75" customHeight="1">
      <c r="B172" s="186" t="s">
        <v>714</v>
      </c>
      <c r="D172" s="186" t="s">
        <v>715</v>
      </c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</row>
    <row r="173" spans="1:7" ht="17.25" customHeight="1">
      <c r="A173" s="268"/>
      <c r="B173" s="268"/>
      <c r="C173" s="268"/>
      <c r="D173" s="268"/>
      <c r="E173" s="268"/>
      <c r="F173" s="192"/>
      <c r="G173" s="192"/>
    </row>
    <row r="174" spans="1:8" ht="60.75" customHeight="1">
      <c r="A174" s="689" t="s">
        <v>545</v>
      </c>
      <c r="B174" s="715" t="s">
        <v>1</v>
      </c>
      <c r="C174" s="715" t="s">
        <v>605</v>
      </c>
      <c r="D174" s="715" t="s">
        <v>606</v>
      </c>
      <c r="E174" s="236" t="s">
        <v>725</v>
      </c>
      <c r="F174" s="237"/>
      <c r="G174" s="237"/>
      <c r="H174" s="257"/>
    </row>
    <row r="175" spans="1:50" ht="46.5" customHeight="1">
      <c r="A175" s="690"/>
      <c r="B175" s="715"/>
      <c r="C175" s="715"/>
      <c r="D175" s="715"/>
      <c r="E175" s="270" t="s">
        <v>726</v>
      </c>
      <c r="F175" s="364"/>
      <c r="G175" s="364"/>
      <c r="H175" s="272"/>
      <c r="I175" s="273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192"/>
    </row>
    <row r="176" spans="1:50" ht="14.25" customHeight="1">
      <c r="A176" s="229">
        <v>1</v>
      </c>
      <c r="B176" s="274">
        <v>2</v>
      </c>
      <c r="C176" s="274">
        <v>3</v>
      </c>
      <c r="D176" s="274">
        <v>4</v>
      </c>
      <c r="E176" s="274">
        <v>5</v>
      </c>
      <c r="F176" s="231"/>
      <c r="G176" s="231"/>
      <c r="H176" s="231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192"/>
    </row>
    <row r="177" spans="1:50" ht="15.75">
      <c r="A177" s="200"/>
      <c r="B177" s="270"/>
      <c r="C177" s="275"/>
      <c r="D177" s="275"/>
      <c r="E177" s="265"/>
      <c r="F177" s="276"/>
      <c r="G177" s="276"/>
      <c r="H177" s="276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  <c r="AX177" s="192"/>
    </row>
    <row r="178" spans="1:50" ht="15.75">
      <c r="A178" s="200"/>
      <c r="B178" s="270"/>
      <c r="C178" s="275"/>
      <c r="D178" s="275"/>
      <c r="E178" s="265"/>
      <c r="F178" s="276"/>
      <c r="G178" s="276"/>
      <c r="H178" s="276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192"/>
    </row>
    <row r="179" spans="1:50" ht="15.75">
      <c r="A179" s="709" t="s">
        <v>561</v>
      </c>
      <c r="B179" s="711"/>
      <c r="C179" s="275" t="s">
        <v>562</v>
      </c>
      <c r="D179" s="275" t="s">
        <v>562</v>
      </c>
      <c r="E179" s="265">
        <f>SUM(E177:E178)</f>
        <v>0</v>
      </c>
      <c r="F179" s="276"/>
      <c r="G179" s="276"/>
      <c r="H179" s="276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  <c r="AT179" s="256"/>
      <c r="AU179" s="256"/>
      <c r="AV179" s="256"/>
      <c r="AW179" s="256"/>
      <c r="AX179" s="192"/>
    </row>
    <row r="180" spans="1:50" ht="15.75">
      <c r="A180" s="277"/>
      <c r="B180" s="277"/>
      <c r="C180" s="276"/>
      <c r="D180" s="276"/>
      <c r="E180" s="276"/>
      <c r="F180" s="276"/>
      <c r="G180" s="276"/>
      <c r="H180" s="276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6"/>
      <c r="AR180" s="256"/>
      <c r="AS180" s="256"/>
      <c r="AT180" s="256"/>
      <c r="AU180" s="256"/>
      <c r="AV180" s="256"/>
      <c r="AW180" s="256"/>
      <c r="AX180" s="192"/>
    </row>
    <row r="181" spans="1:50" ht="36" customHeight="1">
      <c r="A181" s="719" t="s">
        <v>623</v>
      </c>
      <c r="B181" s="719"/>
      <c r="C181" s="719"/>
      <c r="D181" s="719"/>
      <c r="E181" s="719"/>
      <c r="F181" s="719"/>
      <c r="G181" s="719"/>
      <c r="H181" s="719"/>
      <c r="I181" s="719"/>
      <c r="J181" s="719"/>
      <c r="K181" s="719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6"/>
      <c r="AP181" s="256"/>
      <c r="AQ181" s="256"/>
      <c r="AR181" s="256"/>
      <c r="AS181" s="256"/>
      <c r="AT181" s="256"/>
      <c r="AU181" s="256"/>
      <c r="AV181" s="256"/>
      <c r="AW181" s="256"/>
      <c r="AX181" s="192"/>
    </row>
    <row r="182" spans="2:11" ht="15.75">
      <c r="B182" s="186"/>
      <c r="I182" s="192"/>
      <c r="J182" s="278"/>
      <c r="K182" s="278"/>
    </row>
    <row r="183" spans="1:12" ht="15.75" customHeight="1">
      <c r="A183" s="720" t="s">
        <v>624</v>
      </c>
      <c r="B183" s="720"/>
      <c r="C183" s="720"/>
      <c r="D183" s="720"/>
      <c r="E183" s="720"/>
      <c r="F183" s="720"/>
      <c r="G183" s="720"/>
      <c r="H183" s="720"/>
      <c r="I183" s="720"/>
      <c r="J183" s="720"/>
      <c r="K183" s="720"/>
      <c r="L183" s="280"/>
    </row>
    <row r="184" spans="1:12" ht="15.75" customHeight="1">
      <c r="A184" s="279"/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80"/>
    </row>
    <row r="185" spans="2:31" ht="15.75" customHeight="1">
      <c r="B185" s="186" t="s">
        <v>713</v>
      </c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</row>
    <row r="186" spans="2:31" ht="15.75" customHeight="1">
      <c r="B186" s="186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</row>
    <row r="187" spans="2:31" ht="15.75" customHeight="1">
      <c r="B187" s="186" t="s">
        <v>714</v>
      </c>
      <c r="D187" s="186" t="s">
        <v>715</v>
      </c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</row>
    <row r="188" spans="1:12" ht="15.75" customHeight="1">
      <c r="A188" s="224"/>
      <c r="B188" s="224"/>
      <c r="C188" s="224"/>
      <c r="D188" s="224"/>
      <c r="E188" s="224"/>
      <c r="F188" s="224"/>
      <c r="G188" s="280"/>
      <c r="H188" s="280"/>
      <c r="I188" s="280"/>
      <c r="J188" s="280"/>
      <c r="K188" s="280"/>
      <c r="L188" s="280"/>
    </row>
    <row r="189" spans="1:8" ht="57.75" customHeight="1">
      <c r="A189" s="689" t="s">
        <v>545</v>
      </c>
      <c r="B189" s="715" t="s">
        <v>1</v>
      </c>
      <c r="C189" s="715" t="s">
        <v>605</v>
      </c>
      <c r="D189" s="715" t="s">
        <v>606</v>
      </c>
      <c r="E189" s="236" t="s">
        <v>727</v>
      </c>
      <c r="F189" s="237"/>
      <c r="G189" s="237"/>
      <c r="H189" s="257"/>
    </row>
    <row r="190" spans="1:50" ht="44.25" customHeight="1">
      <c r="A190" s="690"/>
      <c r="B190" s="715"/>
      <c r="C190" s="715"/>
      <c r="D190" s="715"/>
      <c r="E190" s="270" t="s">
        <v>728</v>
      </c>
      <c r="F190" s="364"/>
      <c r="G190" s="364"/>
      <c r="H190" s="272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192"/>
    </row>
    <row r="191" spans="1:50" ht="12" customHeight="1">
      <c r="A191" s="281">
        <v>1</v>
      </c>
      <c r="B191" s="282">
        <v>2</v>
      </c>
      <c r="C191" s="282">
        <v>3</v>
      </c>
      <c r="D191" s="282">
        <v>4</v>
      </c>
      <c r="E191" s="274">
        <v>5</v>
      </c>
      <c r="F191" s="231"/>
      <c r="G191" s="231"/>
      <c r="H191" s="231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192"/>
    </row>
    <row r="192" spans="1:50" ht="15.75">
      <c r="A192" s="200"/>
      <c r="B192" s="196"/>
      <c r="C192" s="202"/>
      <c r="D192" s="202"/>
      <c r="E192" s="265"/>
      <c r="F192" s="276"/>
      <c r="G192" s="365"/>
      <c r="H192" s="276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192"/>
    </row>
    <row r="193" spans="1:50" ht="15.75">
      <c r="A193" s="200"/>
      <c r="B193" s="196"/>
      <c r="C193" s="202"/>
      <c r="D193" s="202"/>
      <c r="E193" s="265"/>
      <c r="F193" s="276"/>
      <c r="G193" s="365"/>
      <c r="H193" s="276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192"/>
    </row>
    <row r="194" spans="1:50" ht="15.75">
      <c r="A194" s="709" t="s">
        <v>561</v>
      </c>
      <c r="B194" s="711"/>
      <c r="C194" s="202" t="s">
        <v>562</v>
      </c>
      <c r="D194" s="202" t="s">
        <v>562</v>
      </c>
      <c r="E194" s="265">
        <f>SUM(E192:E193)</f>
        <v>0</v>
      </c>
      <c r="F194" s="276"/>
      <c r="G194" s="365"/>
      <c r="H194" s="276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192"/>
    </row>
    <row r="195" spans="1:50" ht="15.75">
      <c r="A195" s="237"/>
      <c r="B195" s="192"/>
      <c r="C195" s="237"/>
      <c r="D195" s="237"/>
      <c r="E195" s="237"/>
      <c r="F195" s="237"/>
      <c r="G195" s="192"/>
      <c r="H195" s="278"/>
      <c r="I195" s="278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</row>
    <row r="196" spans="1:50" ht="39" customHeight="1">
      <c r="A196" s="712" t="s">
        <v>625</v>
      </c>
      <c r="B196" s="712"/>
      <c r="C196" s="712"/>
      <c r="D196" s="712"/>
      <c r="E196" s="712"/>
      <c r="F196" s="712"/>
      <c r="G196" s="712"/>
      <c r="H196" s="712"/>
      <c r="I196" s="712"/>
      <c r="J196" s="712"/>
      <c r="K196" s="71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</row>
    <row r="197" spans="1:50" ht="15.75">
      <c r="A197" s="237"/>
      <c r="B197" s="192"/>
      <c r="C197" s="237"/>
      <c r="D197" s="237"/>
      <c r="E197" s="237"/>
      <c r="F197" s="237"/>
      <c r="G197" s="192"/>
      <c r="H197" s="278"/>
      <c r="I197" s="278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</row>
    <row r="198" spans="1:11" ht="15.75">
      <c r="A198" s="713" t="s">
        <v>626</v>
      </c>
      <c r="B198" s="713"/>
      <c r="C198" s="713"/>
      <c r="D198" s="713"/>
      <c r="E198" s="713"/>
      <c r="F198" s="713"/>
      <c r="G198" s="713"/>
      <c r="H198" s="713"/>
      <c r="I198" s="713"/>
      <c r="J198" s="713"/>
      <c r="K198" s="713"/>
    </row>
    <row r="199" spans="1:10" ht="15.75">
      <c r="A199" s="237"/>
      <c r="B199" s="192"/>
      <c r="C199" s="237"/>
      <c r="D199" s="237"/>
      <c r="E199" s="237"/>
      <c r="F199" s="237"/>
      <c r="G199" s="192"/>
      <c r="H199" s="278"/>
      <c r="I199" s="278"/>
      <c r="J199" s="192"/>
    </row>
    <row r="200" spans="2:31" ht="15.75" customHeight="1">
      <c r="B200" s="186" t="s">
        <v>627</v>
      </c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</row>
    <row r="201" spans="2:31" ht="15.75" customHeight="1">
      <c r="B201" s="186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</row>
    <row r="202" spans="2:31" ht="15.75" customHeight="1">
      <c r="B202" s="186" t="s">
        <v>714</v>
      </c>
      <c r="D202" s="193" t="s">
        <v>715</v>
      </c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</row>
    <row r="203" spans="1:10" ht="15.75">
      <c r="A203" s="237"/>
      <c r="B203" s="192"/>
      <c r="C203" s="237"/>
      <c r="D203" s="237"/>
      <c r="E203" s="237"/>
      <c r="F203" s="237"/>
      <c r="G203" s="192"/>
      <c r="H203" s="278"/>
      <c r="I203" s="278"/>
      <c r="J203" s="192"/>
    </row>
    <row r="204" spans="1:10" ht="15.75">
      <c r="A204" s="237"/>
      <c r="B204" s="223" t="s">
        <v>628</v>
      </c>
      <c r="C204" s="237"/>
      <c r="D204" s="237"/>
      <c r="E204" s="237"/>
      <c r="F204" s="237"/>
      <c r="G204" s="192"/>
      <c r="H204" s="278"/>
      <c r="I204" s="278"/>
      <c r="J204" s="192"/>
    </row>
    <row r="205" spans="1:10" ht="15.75">
      <c r="A205" s="283"/>
      <c r="B205" s="283"/>
      <c r="C205" s="283"/>
      <c r="D205" s="283"/>
      <c r="E205" s="237"/>
      <c r="F205" s="237"/>
      <c r="G205" s="192"/>
      <c r="H205" s="278"/>
      <c r="I205" s="278"/>
      <c r="J205" s="192"/>
    </row>
    <row r="206" spans="1:36" ht="41.25" customHeight="1">
      <c r="A206" s="689" t="s">
        <v>545</v>
      </c>
      <c r="B206" s="715" t="s">
        <v>566</v>
      </c>
      <c r="C206" s="715" t="s">
        <v>629</v>
      </c>
      <c r="D206" s="715" t="s">
        <v>630</v>
      </c>
      <c r="E206" s="715" t="s">
        <v>631</v>
      </c>
      <c r="F206" s="236" t="s">
        <v>729</v>
      </c>
      <c r="G206" s="237"/>
      <c r="H206" s="237"/>
      <c r="I206" s="257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1:36" ht="49.5" customHeight="1">
      <c r="A207" s="690"/>
      <c r="B207" s="715"/>
      <c r="C207" s="715"/>
      <c r="D207" s="715"/>
      <c r="E207" s="715"/>
      <c r="F207" s="246" t="s">
        <v>730</v>
      </c>
      <c r="G207" s="353"/>
      <c r="H207" s="353"/>
      <c r="I207" s="272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192"/>
    </row>
    <row r="208" spans="1:36" ht="15.75">
      <c r="A208" s="201">
        <v>1</v>
      </c>
      <c r="B208" s="201">
        <v>2</v>
      </c>
      <c r="C208" s="201">
        <v>3</v>
      </c>
      <c r="D208" s="201">
        <v>4</v>
      </c>
      <c r="E208" s="201">
        <v>5</v>
      </c>
      <c r="F208" s="201">
        <v>6</v>
      </c>
      <c r="G208" s="366"/>
      <c r="H208" s="231"/>
      <c r="I208" s="231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192"/>
    </row>
    <row r="209" spans="1:36" ht="63">
      <c r="A209" s="238" t="s">
        <v>608</v>
      </c>
      <c r="B209" s="298" t="s">
        <v>633</v>
      </c>
      <c r="C209" s="286">
        <v>1</v>
      </c>
      <c r="D209" s="483">
        <v>1</v>
      </c>
      <c r="E209" s="288">
        <v>3500</v>
      </c>
      <c r="F209" s="367">
        <f>D209*E209*C209</f>
        <v>3500</v>
      </c>
      <c r="G209" s="368"/>
      <c r="H209" s="369"/>
      <c r="I209" s="276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192"/>
    </row>
    <row r="210" spans="1:36" ht="15.75">
      <c r="A210" s="238"/>
      <c r="B210" s="197"/>
      <c r="C210" s="215"/>
      <c r="D210" s="215"/>
      <c r="E210" s="215"/>
      <c r="F210" s="370"/>
      <c r="G210" s="371"/>
      <c r="H210" s="276"/>
      <c r="I210" s="276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192"/>
    </row>
    <row r="211" spans="1:36" ht="15.75">
      <c r="A211" s="751" t="s">
        <v>635</v>
      </c>
      <c r="B211" s="753"/>
      <c r="C211" s="372" t="s">
        <v>562</v>
      </c>
      <c r="D211" s="372" t="s">
        <v>562</v>
      </c>
      <c r="E211" s="372" t="s">
        <v>562</v>
      </c>
      <c r="F211" s="373">
        <f>SUM(F209:F210)</f>
        <v>3500</v>
      </c>
      <c r="G211" s="371"/>
      <c r="H211" s="276"/>
      <c r="I211" s="276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93"/>
      <c r="W211" s="293"/>
      <c r="X211" s="293"/>
      <c r="Y211" s="293"/>
      <c r="Z211" s="293"/>
      <c r="AA211" s="293"/>
      <c r="AB211" s="293"/>
      <c r="AC211" s="293"/>
      <c r="AD211" s="293"/>
      <c r="AE211" s="293"/>
      <c r="AF211" s="293"/>
      <c r="AG211" s="293"/>
      <c r="AH211" s="293"/>
      <c r="AI211" s="293"/>
      <c r="AJ211" s="192"/>
    </row>
    <row r="212" spans="1:10" ht="15.75">
      <c r="A212" s="237"/>
      <c r="B212" s="192"/>
      <c r="C212" s="237"/>
      <c r="D212" s="237"/>
      <c r="E212" s="237"/>
      <c r="F212" s="237"/>
      <c r="G212" s="192"/>
      <c r="H212" s="278"/>
      <c r="I212" s="278"/>
      <c r="J212" s="192"/>
    </row>
    <row r="213" spans="1:11" ht="151.5" customHeight="1">
      <c r="A213" s="712" t="s">
        <v>636</v>
      </c>
      <c r="B213" s="712"/>
      <c r="C213" s="712"/>
      <c r="D213" s="712"/>
      <c r="E213" s="712"/>
      <c r="F213" s="712"/>
      <c r="G213" s="712"/>
      <c r="H213" s="712"/>
      <c r="I213" s="712"/>
      <c r="J213" s="712"/>
      <c r="K213" s="712"/>
    </row>
    <row r="214" spans="1:10" ht="15.75">
      <c r="A214" s="237"/>
      <c r="B214" s="192"/>
      <c r="C214" s="237"/>
      <c r="D214" s="237"/>
      <c r="E214" s="237"/>
      <c r="F214" s="237"/>
      <c r="G214" s="192"/>
      <c r="H214" s="278"/>
      <c r="I214" s="278"/>
      <c r="J214" s="192"/>
    </row>
    <row r="215" spans="1:10" ht="15.75">
      <c r="A215" s="283"/>
      <c r="B215" s="283" t="s">
        <v>637</v>
      </c>
      <c r="C215" s="283"/>
      <c r="D215" s="283"/>
      <c r="E215" s="283"/>
      <c r="F215" s="237"/>
      <c r="G215" s="192"/>
      <c r="H215" s="278"/>
      <c r="I215" s="278"/>
      <c r="J215" s="192"/>
    </row>
    <row r="216" spans="1:10" ht="15.75">
      <c r="A216" s="237"/>
      <c r="B216" s="192"/>
      <c r="C216" s="237"/>
      <c r="D216" s="237"/>
      <c r="E216" s="237"/>
      <c r="F216" s="237"/>
      <c r="G216" s="192"/>
      <c r="H216" s="278"/>
      <c r="I216" s="278"/>
      <c r="J216" s="192"/>
    </row>
    <row r="217" spans="1:10" ht="41.25" customHeight="1">
      <c r="A217" s="689" t="s">
        <v>545</v>
      </c>
      <c r="B217" s="715" t="s">
        <v>566</v>
      </c>
      <c r="C217" s="715" t="s">
        <v>638</v>
      </c>
      <c r="D217" s="715" t="s">
        <v>639</v>
      </c>
      <c r="E217" s="236" t="s">
        <v>731</v>
      </c>
      <c r="F217" s="237"/>
      <c r="G217" s="237"/>
      <c r="H217" s="257"/>
      <c r="I217" s="278"/>
      <c r="J217" s="192"/>
    </row>
    <row r="218" spans="1:10" ht="31.5">
      <c r="A218" s="690"/>
      <c r="B218" s="715"/>
      <c r="C218" s="715"/>
      <c r="D218" s="715"/>
      <c r="E218" s="270" t="s">
        <v>732</v>
      </c>
      <c r="F218" s="364"/>
      <c r="G218" s="364"/>
      <c r="H218" s="272"/>
      <c r="I218" s="278"/>
      <c r="J218" s="192"/>
    </row>
    <row r="219" spans="1:10" ht="15.75">
      <c r="A219" s="281">
        <v>1</v>
      </c>
      <c r="B219" s="282">
        <v>2</v>
      </c>
      <c r="C219" s="282">
        <v>3</v>
      </c>
      <c r="D219" s="282">
        <v>4</v>
      </c>
      <c r="E219" s="274">
        <v>5</v>
      </c>
      <c r="F219" s="231"/>
      <c r="G219" s="231"/>
      <c r="H219" s="231"/>
      <c r="I219" s="278"/>
      <c r="J219" s="192"/>
    </row>
    <row r="220" spans="1:10" ht="31.5">
      <c r="A220" s="200">
        <v>1</v>
      </c>
      <c r="B220" s="298" t="s">
        <v>733</v>
      </c>
      <c r="C220" s="202">
        <v>1</v>
      </c>
      <c r="D220" s="202">
        <v>11000</v>
      </c>
      <c r="E220" s="265">
        <f>C220*D220</f>
        <v>11000</v>
      </c>
      <c r="F220" s="276"/>
      <c r="G220" s="276"/>
      <c r="H220" s="276"/>
      <c r="I220" s="278"/>
      <c r="J220" s="192"/>
    </row>
    <row r="221" spans="1:10" ht="15.75">
      <c r="A221" s="200"/>
      <c r="B221" s="196"/>
      <c r="C221" s="202"/>
      <c r="D221" s="202"/>
      <c r="E221" s="265"/>
      <c r="F221" s="276"/>
      <c r="G221" s="276"/>
      <c r="H221" s="276"/>
      <c r="I221" s="278"/>
      <c r="J221" s="192"/>
    </row>
    <row r="222" spans="1:10" ht="15.75">
      <c r="A222" s="726" t="s">
        <v>561</v>
      </c>
      <c r="B222" s="727"/>
      <c r="C222" s="305" t="s">
        <v>562</v>
      </c>
      <c r="D222" s="305" t="s">
        <v>562</v>
      </c>
      <c r="E222" s="374">
        <f>SUM(E220:E221)</f>
        <v>11000</v>
      </c>
      <c r="F222" s="276"/>
      <c r="G222" s="276"/>
      <c r="H222" s="276"/>
      <c r="I222" s="278"/>
      <c r="J222" s="192"/>
    </row>
    <row r="223" spans="1:10" ht="15.75">
      <c r="A223" s="237"/>
      <c r="B223" s="192"/>
      <c r="C223" s="237"/>
      <c r="D223" s="237"/>
      <c r="E223" s="237"/>
      <c r="F223" s="237"/>
      <c r="G223" s="192"/>
      <c r="H223" s="278"/>
      <c r="I223" s="278"/>
      <c r="J223" s="192"/>
    </row>
    <row r="224" spans="1:11" ht="36" customHeight="1">
      <c r="A224" s="725" t="s">
        <v>641</v>
      </c>
      <c r="B224" s="725"/>
      <c r="C224" s="725"/>
      <c r="D224" s="725"/>
      <c r="E224" s="725"/>
      <c r="F224" s="725"/>
      <c r="G224" s="725"/>
      <c r="H224" s="725"/>
      <c r="I224" s="725"/>
      <c r="J224" s="725"/>
      <c r="K224" s="725"/>
    </row>
    <row r="225" spans="1:10" ht="15.75">
      <c r="A225" s="237"/>
      <c r="B225" s="192"/>
      <c r="C225" s="237"/>
      <c r="D225" s="237"/>
      <c r="E225" s="237"/>
      <c r="F225" s="237"/>
      <c r="G225" s="192"/>
      <c r="H225" s="278"/>
      <c r="I225" s="278"/>
      <c r="J225" s="192"/>
    </row>
    <row r="226" spans="1:10" ht="15.75">
      <c r="A226" s="283"/>
      <c r="B226" s="283" t="s">
        <v>642</v>
      </c>
      <c r="C226" s="283"/>
      <c r="D226" s="283"/>
      <c r="E226" s="283"/>
      <c r="F226" s="283"/>
      <c r="G226" s="192"/>
      <c r="H226" s="278"/>
      <c r="I226" s="278"/>
      <c r="J226" s="192"/>
    </row>
    <row r="227" spans="1:10" ht="15.75">
      <c r="A227" s="237"/>
      <c r="B227" s="192"/>
      <c r="C227" s="237"/>
      <c r="D227" s="237"/>
      <c r="E227" s="237"/>
      <c r="F227" s="237"/>
      <c r="G227" s="192"/>
      <c r="H227" s="278"/>
      <c r="I227" s="278"/>
      <c r="J227" s="192"/>
    </row>
    <row r="228" spans="1:10" ht="45" customHeight="1">
      <c r="A228" s="689" t="s">
        <v>545</v>
      </c>
      <c r="B228" s="715" t="s">
        <v>1</v>
      </c>
      <c r="C228" s="715" t="s">
        <v>643</v>
      </c>
      <c r="D228" s="715" t="s">
        <v>644</v>
      </c>
      <c r="E228" s="715" t="s">
        <v>645</v>
      </c>
      <c r="F228" s="236" t="s">
        <v>729</v>
      </c>
      <c r="G228" s="237"/>
      <c r="H228" s="237"/>
      <c r="I228" s="257"/>
      <c r="J228" s="192"/>
    </row>
    <row r="229" spans="1:10" ht="31.5">
      <c r="A229" s="690"/>
      <c r="B229" s="715"/>
      <c r="C229" s="715"/>
      <c r="D229" s="715"/>
      <c r="E229" s="715"/>
      <c r="F229" s="269" t="s">
        <v>732</v>
      </c>
      <c r="G229" s="364"/>
      <c r="H229" s="364"/>
      <c r="I229" s="272"/>
      <c r="J229" s="192"/>
    </row>
    <row r="230" spans="1:10" ht="15.75">
      <c r="A230" s="201">
        <v>1</v>
      </c>
      <c r="B230" s="201">
        <v>2</v>
      </c>
      <c r="C230" s="201">
        <v>3</v>
      </c>
      <c r="D230" s="201">
        <v>4</v>
      </c>
      <c r="E230" s="201">
        <v>5</v>
      </c>
      <c r="F230" s="204">
        <v>6</v>
      </c>
      <c r="G230" s="231"/>
      <c r="H230" s="231"/>
      <c r="I230" s="231"/>
      <c r="J230" s="192"/>
    </row>
    <row r="231" spans="1:10" ht="15.75">
      <c r="A231" s="294" t="s">
        <v>608</v>
      </c>
      <c r="B231" s="295" t="s">
        <v>646</v>
      </c>
      <c r="C231" s="296">
        <v>58.47069</v>
      </c>
      <c r="D231" s="296">
        <v>1860.27</v>
      </c>
      <c r="E231" s="296">
        <v>0</v>
      </c>
      <c r="F231" s="297">
        <f>ROUND(C231*D231,2)+62500</f>
        <v>171271.27000000002</v>
      </c>
      <c r="G231" s="375"/>
      <c r="H231" s="365"/>
      <c r="I231" s="276"/>
      <c r="J231" s="192"/>
    </row>
    <row r="232" spans="1:10" ht="15.75">
      <c r="A232" s="294" t="s">
        <v>588</v>
      </c>
      <c r="B232" s="298" t="s">
        <v>647</v>
      </c>
      <c r="C232" s="299">
        <f>22684</f>
        <v>22684</v>
      </c>
      <c r="D232" s="299">
        <v>6.32</v>
      </c>
      <c r="E232" s="296">
        <v>0</v>
      </c>
      <c r="F232" s="297">
        <f>ROUND(C232*D232,2)+31776</f>
        <v>175138.88</v>
      </c>
      <c r="G232" s="365"/>
      <c r="H232" s="365"/>
      <c r="I232" s="276"/>
      <c r="J232" s="192"/>
    </row>
    <row r="233" spans="1:10" ht="31.5">
      <c r="A233" s="294" t="s">
        <v>599</v>
      </c>
      <c r="B233" s="298" t="s">
        <v>648</v>
      </c>
      <c r="C233" s="299">
        <v>1038</v>
      </c>
      <c r="D233" s="299">
        <v>40.98</v>
      </c>
      <c r="E233" s="296">
        <v>0</v>
      </c>
      <c r="F233" s="297">
        <f>ROUND(C233*D233,2)+16000</f>
        <v>58537.24</v>
      </c>
      <c r="G233" s="365"/>
      <c r="H233" s="365"/>
      <c r="I233" s="276"/>
      <c r="J233" s="192"/>
    </row>
    <row r="234" spans="1:10" s="399" customFormat="1" ht="18.75">
      <c r="A234" s="764" t="s">
        <v>635</v>
      </c>
      <c r="B234" s="765"/>
      <c r="C234" s="395" t="s">
        <v>562</v>
      </c>
      <c r="D234" s="395" t="s">
        <v>562</v>
      </c>
      <c r="E234" s="395" t="s">
        <v>562</v>
      </c>
      <c r="F234" s="396">
        <f>SUM(F231:F233)</f>
        <v>404947.39</v>
      </c>
      <c r="G234" s="397"/>
      <c r="H234" s="397"/>
      <c r="I234" s="397"/>
      <c r="J234" s="398"/>
    </row>
    <row r="235" spans="1:10" ht="15.75">
      <c r="A235" s="237"/>
      <c r="B235" s="192"/>
      <c r="C235" s="237"/>
      <c r="D235" s="237"/>
      <c r="E235" s="237"/>
      <c r="F235" s="237"/>
      <c r="G235" s="192"/>
      <c r="H235" s="278"/>
      <c r="I235" s="278"/>
      <c r="J235" s="192"/>
    </row>
    <row r="236" spans="1:10" ht="15.75" hidden="1">
      <c r="A236" s="283"/>
      <c r="B236" s="283" t="s">
        <v>859</v>
      </c>
      <c r="C236" s="283"/>
      <c r="D236" s="283"/>
      <c r="E236" s="283"/>
      <c r="F236" s="283"/>
      <c r="G236" s="192"/>
      <c r="H236" s="278"/>
      <c r="I236" s="278"/>
      <c r="J236" s="192"/>
    </row>
    <row r="237" spans="1:10" ht="15.75" hidden="1">
      <c r="A237" s="237"/>
      <c r="B237" s="192"/>
      <c r="C237" s="237"/>
      <c r="D237" s="237"/>
      <c r="E237" s="237"/>
      <c r="F237" s="237"/>
      <c r="G237" s="192"/>
      <c r="H237" s="278"/>
      <c r="I237" s="278"/>
      <c r="J237" s="192"/>
    </row>
    <row r="238" spans="1:10" ht="31.5" hidden="1">
      <c r="A238" s="689" t="s">
        <v>545</v>
      </c>
      <c r="B238" s="715" t="s">
        <v>1</v>
      </c>
      <c r="C238" s="715" t="s">
        <v>643</v>
      </c>
      <c r="D238" s="715" t="s">
        <v>644</v>
      </c>
      <c r="E238" s="715" t="s">
        <v>645</v>
      </c>
      <c r="F238" s="236" t="s">
        <v>729</v>
      </c>
      <c r="G238" s="237"/>
      <c r="H238" s="237"/>
      <c r="I238" s="257"/>
      <c r="J238" s="192"/>
    </row>
    <row r="239" spans="1:10" ht="31.5" hidden="1">
      <c r="A239" s="690"/>
      <c r="B239" s="715"/>
      <c r="C239" s="715"/>
      <c r="D239" s="715"/>
      <c r="E239" s="715"/>
      <c r="F239" s="269" t="s">
        <v>732</v>
      </c>
      <c r="G239" s="364"/>
      <c r="H239" s="364"/>
      <c r="I239" s="272"/>
      <c r="J239" s="192"/>
    </row>
    <row r="240" spans="1:10" ht="15.75" hidden="1">
      <c r="A240" s="201">
        <v>1</v>
      </c>
      <c r="B240" s="201">
        <v>2</v>
      </c>
      <c r="C240" s="201">
        <v>3</v>
      </c>
      <c r="D240" s="201">
        <v>4</v>
      </c>
      <c r="E240" s="201">
        <v>5</v>
      </c>
      <c r="F240" s="204">
        <v>6</v>
      </c>
      <c r="G240" s="231"/>
      <c r="H240" s="231"/>
      <c r="I240" s="231"/>
      <c r="J240" s="192"/>
    </row>
    <row r="241" spans="1:10" ht="31.5" hidden="1">
      <c r="A241" s="201">
        <v>1</v>
      </c>
      <c r="B241" s="298" t="s">
        <v>860</v>
      </c>
      <c r="C241" s="299">
        <v>39.64</v>
      </c>
      <c r="D241" s="299">
        <v>1576.5</v>
      </c>
      <c r="E241" s="299"/>
      <c r="F241" s="299"/>
      <c r="G241" s="231"/>
      <c r="H241" s="231"/>
      <c r="I241" s="231"/>
      <c r="J241" s="192"/>
    </row>
    <row r="242" spans="1:10" ht="31.5" hidden="1">
      <c r="A242" s="238" t="s">
        <v>588</v>
      </c>
      <c r="B242" s="298" t="s">
        <v>861</v>
      </c>
      <c r="C242" s="299">
        <v>5788</v>
      </c>
      <c r="D242" s="299">
        <v>5.49</v>
      </c>
      <c r="E242" s="299"/>
      <c r="F242" s="299"/>
      <c r="G242" s="276"/>
      <c r="H242" s="276"/>
      <c r="I242" s="276"/>
      <c r="J242" s="192"/>
    </row>
    <row r="243" spans="1:10" ht="31.5" hidden="1">
      <c r="A243" s="238" t="s">
        <v>599</v>
      </c>
      <c r="B243" s="298" t="s">
        <v>862</v>
      </c>
      <c r="C243" s="299">
        <v>230</v>
      </c>
      <c r="D243" s="299">
        <v>69.46</v>
      </c>
      <c r="E243" s="299"/>
      <c r="F243" s="299"/>
      <c r="G243" s="276"/>
      <c r="H243" s="276"/>
      <c r="I243" s="276"/>
      <c r="J243" s="192"/>
    </row>
    <row r="244" spans="1:10" ht="15.75" hidden="1">
      <c r="A244" s="723" t="s">
        <v>635</v>
      </c>
      <c r="B244" s="724"/>
      <c r="C244" s="215" t="s">
        <v>562</v>
      </c>
      <c r="D244" s="215" t="s">
        <v>562</v>
      </c>
      <c r="E244" s="215" t="s">
        <v>562</v>
      </c>
      <c r="F244" s="539">
        <f>SUM(F241:F243)</f>
        <v>0</v>
      </c>
      <c r="G244" s="276"/>
      <c r="H244" s="276"/>
      <c r="I244" s="276"/>
      <c r="J244" s="192"/>
    </row>
    <row r="245" spans="1:10" ht="15.75">
      <c r="A245" s="237"/>
      <c r="B245" s="192"/>
      <c r="C245" s="237"/>
      <c r="D245" s="237"/>
      <c r="E245" s="237"/>
      <c r="F245" s="237"/>
      <c r="G245" s="192"/>
      <c r="H245" s="278"/>
      <c r="I245" s="278"/>
      <c r="J245" s="192"/>
    </row>
    <row r="246" spans="1:11" ht="66.75" customHeight="1">
      <c r="A246" s="712" t="s">
        <v>649</v>
      </c>
      <c r="B246" s="725"/>
      <c r="C246" s="725"/>
      <c r="D246" s="725"/>
      <c r="E246" s="725"/>
      <c r="F246" s="725"/>
      <c r="G246" s="725"/>
      <c r="H246" s="725"/>
      <c r="I246" s="725"/>
      <c r="J246" s="725"/>
      <c r="K246" s="725"/>
    </row>
    <row r="247" spans="1:10" ht="15.75">
      <c r="A247" s="237"/>
      <c r="B247" s="192"/>
      <c r="C247" s="237"/>
      <c r="D247" s="237"/>
      <c r="E247" s="237"/>
      <c r="F247" s="237"/>
      <c r="G247" s="192"/>
      <c r="H247" s="278"/>
      <c r="I247" s="278"/>
      <c r="J247" s="192"/>
    </row>
    <row r="248" spans="1:10" ht="15.75">
      <c r="A248" s="283"/>
      <c r="B248" s="283" t="s">
        <v>650</v>
      </c>
      <c r="C248" s="283"/>
      <c r="D248" s="283"/>
      <c r="E248" s="283"/>
      <c r="F248" s="237"/>
      <c r="G248" s="192"/>
      <c r="H248" s="278"/>
      <c r="I248" s="278"/>
      <c r="J248" s="192"/>
    </row>
    <row r="249" spans="1:10" ht="15.75">
      <c r="A249" s="237"/>
      <c r="B249" s="192"/>
      <c r="C249" s="237"/>
      <c r="D249" s="237"/>
      <c r="E249" s="237"/>
      <c r="F249" s="237"/>
      <c r="G249" s="192"/>
      <c r="H249" s="278"/>
      <c r="I249" s="278"/>
      <c r="J249" s="192"/>
    </row>
    <row r="250" spans="1:10" ht="22.5" customHeight="1">
      <c r="A250" s="689" t="s">
        <v>545</v>
      </c>
      <c r="B250" s="715" t="s">
        <v>1</v>
      </c>
      <c r="C250" s="715" t="s">
        <v>651</v>
      </c>
      <c r="D250" s="715" t="s">
        <v>652</v>
      </c>
      <c r="E250" s="200" t="s">
        <v>579</v>
      </c>
      <c r="F250" s="237"/>
      <c r="G250" s="237"/>
      <c r="H250" s="257"/>
      <c r="I250" s="278"/>
      <c r="J250" s="192"/>
    </row>
    <row r="251" spans="1:10" ht="78.75">
      <c r="A251" s="690"/>
      <c r="B251" s="715"/>
      <c r="C251" s="715"/>
      <c r="D251" s="715"/>
      <c r="E251" s="270" t="s">
        <v>734</v>
      </c>
      <c r="F251" s="364"/>
      <c r="G251" s="364"/>
      <c r="H251" s="272"/>
      <c r="I251" s="278"/>
      <c r="J251" s="192"/>
    </row>
    <row r="252" spans="1:10" ht="15.75">
      <c r="A252" s="281">
        <v>1</v>
      </c>
      <c r="B252" s="282">
        <v>2</v>
      </c>
      <c r="C252" s="282">
        <v>3</v>
      </c>
      <c r="D252" s="282">
        <v>4</v>
      </c>
      <c r="E252" s="274">
        <v>5</v>
      </c>
      <c r="F252" s="231"/>
      <c r="G252" s="231"/>
      <c r="H252" s="231"/>
      <c r="I252" s="278"/>
      <c r="J252" s="192"/>
    </row>
    <row r="253" spans="1:10" ht="15.75">
      <c r="A253" s="200"/>
      <c r="B253" s="196"/>
      <c r="C253" s="202"/>
      <c r="D253" s="202"/>
      <c r="E253" s="265"/>
      <c r="F253" s="276"/>
      <c r="G253" s="276"/>
      <c r="H253" s="276"/>
      <c r="I253" s="278"/>
      <c r="J253" s="192"/>
    </row>
    <row r="254" spans="1:10" ht="15.75">
      <c r="A254" s="200"/>
      <c r="B254" s="196"/>
      <c r="C254" s="202"/>
      <c r="D254" s="202"/>
      <c r="E254" s="265"/>
      <c r="F254" s="276"/>
      <c r="G254" s="276"/>
      <c r="H254" s="276"/>
      <c r="I254" s="278"/>
      <c r="J254" s="192"/>
    </row>
    <row r="255" spans="1:10" ht="15.75">
      <c r="A255" s="709" t="s">
        <v>561</v>
      </c>
      <c r="B255" s="711"/>
      <c r="C255" s="202" t="s">
        <v>562</v>
      </c>
      <c r="D255" s="202" t="s">
        <v>562</v>
      </c>
      <c r="E255" s="265">
        <f>SUM(E253:E254)</f>
        <v>0</v>
      </c>
      <c r="F255" s="276"/>
      <c r="G255" s="276"/>
      <c r="H255" s="276"/>
      <c r="I255" s="278"/>
      <c r="J255" s="192"/>
    </row>
    <row r="256" spans="1:11" ht="48" customHeight="1">
      <c r="A256" s="728" t="s">
        <v>654</v>
      </c>
      <c r="B256" s="728"/>
      <c r="C256" s="728"/>
      <c r="D256" s="728"/>
      <c r="E256" s="728"/>
      <c r="F256" s="728"/>
      <c r="G256" s="728"/>
      <c r="H256" s="728"/>
      <c r="I256" s="728"/>
      <c r="J256" s="728"/>
      <c r="K256" s="728"/>
    </row>
    <row r="257" spans="1:10" ht="15.75">
      <c r="A257" s="237"/>
      <c r="B257" s="192"/>
      <c r="C257" s="237"/>
      <c r="D257" s="237"/>
      <c r="E257" s="237"/>
      <c r="F257" s="237"/>
      <c r="G257" s="192"/>
      <c r="H257" s="278"/>
      <c r="I257" s="278"/>
      <c r="J257" s="192"/>
    </row>
    <row r="258" spans="1:10" ht="15.75">
      <c r="A258" s="283"/>
      <c r="B258" s="283" t="s">
        <v>655</v>
      </c>
      <c r="C258" s="283"/>
      <c r="D258" s="283"/>
      <c r="E258" s="283"/>
      <c r="F258" s="283"/>
      <c r="G258" s="192"/>
      <c r="H258" s="278"/>
      <c r="I258" s="278"/>
      <c r="J258" s="192"/>
    </row>
    <row r="259" spans="1:10" ht="15.75">
      <c r="A259" s="237"/>
      <c r="B259" s="192"/>
      <c r="C259" s="237"/>
      <c r="D259" s="237"/>
      <c r="E259" s="237"/>
      <c r="F259" s="237"/>
      <c r="G259" s="192"/>
      <c r="H259" s="278"/>
      <c r="I259" s="278"/>
      <c r="J259" s="192"/>
    </row>
    <row r="260" spans="1:10" ht="50.25" customHeight="1">
      <c r="A260" s="689" t="s">
        <v>545</v>
      </c>
      <c r="B260" s="715" t="s">
        <v>566</v>
      </c>
      <c r="C260" s="715" t="s">
        <v>656</v>
      </c>
      <c r="D260" s="715" t="s">
        <v>657</v>
      </c>
      <c r="E260" s="236" t="s">
        <v>735</v>
      </c>
      <c r="F260" s="237"/>
      <c r="G260" s="237"/>
      <c r="H260" s="257"/>
      <c r="I260" s="278"/>
      <c r="J260" s="192"/>
    </row>
    <row r="261" spans="1:10" ht="31.5">
      <c r="A261" s="690"/>
      <c r="B261" s="715"/>
      <c r="C261" s="715"/>
      <c r="D261" s="715"/>
      <c r="E261" s="270" t="s">
        <v>736</v>
      </c>
      <c r="F261" s="364"/>
      <c r="G261" s="364"/>
      <c r="H261" s="272"/>
      <c r="I261" s="278"/>
      <c r="J261" s="192"/>
    </row>
    <row r="262" spans="1:10" ht="15.75">
      <c r="A262" s="281">
        <v>1</v>
      </c>
      <c r="B262" s="282">
        <v>2</v>
      </c>
      <c r="C262" s="282">
        <v>3</v>
      </c>
      <c r="D262" s="282">
        <v>4</v>
      </c>
      <c r="E262" s="274">
        <v>5</v>
      </c>
      <c r="F262" s="231"/>
      <c r="G262" s="231"/>
      <c r="H262" s="231"/>
      <c r="I262" s="278"/>
      <c r="J262" s="192"/>
    </row>
    <row r="263" spans="1:10" ht="15.75">
      <c r="A263" s="281">
        <v>1</v>
      </c>
      <c r="B263" s="302" t="s">
        <v>659</v>
      </c>
      <c r="C263" s="282" t="s">
        <v>660</v>
      </c>
      <c r="D263" s="303">
        <v>9</v>
      </c>
      <c r="E263" s="376">
        <f>19414.63-3016-590.9</f>
        <v>15807.730000000001</v>
      </c>
      <c r="F263" s="231"/>
      <c r="G263" s="231"/>
      <c r="H263" s="231"/>
      <c r="I263" s="278"/>
      <c r="J263" s="192"/>
    </row>
    <row r="264" spans="1:10" ht="15.75">
      <c r="A264" s="281">
        <v>2</v>
      </c>
      <c r="B264" s="302" t="s">
        <v>661</v>
      </c>
      <c r="C264" s="282" t="s">
        <v>660</v>
      </c>
      <c r="D264" s="303">
        <v>9</v>
      </c>
      <c r="E264" s="376">
        <v>3600</v>
      </c>
      <c r="F264" s="231"/>
      <c r="G264" s="231"/>
      <c r="H264" s="231"/>
      <c r="I264" s="278"/>
      <c r="J264" s="192"/>
    </row>
    <row r="265" spans="1:10" ht="31.5">
      <c r="A265" s="281">
        <v>3</v>
      </c>
      <c r="B265" s="302" t="s">
        <v>662</v>
      </c>
      <c r="C265" s="282" t="s">
        <v>660</v>
      </c>
      <c r="D265" s="303">
        <v>9</v>
      </c>
      <c r="E265" s="377">
        <v>18000</v>
      </c>
      <c r="F265" s="231"/>
      <c r="G265" s="231"/>
      <c r="H265" s="231"/>
      <c r="I265" s="278"/>
      <c r="J265" s="192"/>
    </row>
    <row r="266" spans="1:10" ht="15.75">
      <c r="A266" s="281">
        <v>4</v>
      </c>
      <c r="B266" s="302" t="s">
        <v>663</v>
      </c>
      <c r="C266" s="282" t="s">
        <v>660</v>
      </c>
      <c r="D266" s="303">
        <v>9</v>
      </c>
      <c r="E266" s="376">
        <v>85000</v>
      </c>
      <c r="F266" s="231"/>
      <c r="G266" s="231"/>
      <c r="H266" s="231"/>
      <c r="I266" s="278"/>
      <c r="J266" s="192"/>
    </row>
    <row r="267" spans="1:10" ht="31.5">
      <c r="A267" s="281">
        <v>5</v>
      </c>
      <c r="B267" s="302" t="s">
        <v>664</v>
      </c>
      <c r="C267" s="282" t="s">
        <v>660</v>
      </c>
      <c r="D267" s="303">
        <v>9</v>
      </c>
      <c r="E267" s="376">
        <v>448000</v>
      </c>
      <c r="F267" s="231"/>
      <c r="G267" s="231"/>
      <c r="H267" s="231"/>
      <c r="I267" s="278"/>
      <c r="J267" s="192"/>
    </row>
    <row r="268" spans="1:10" ht="15.75">
      <c r="A268" s="281">
        <v>6</v>
      </c>
      <c r="B268" s="302" t="s">
        <v>665</v>
      </c>
      <c r="C268" s="282" t="s">
        <v>660</v>
      </c>
      <c r="D268" s="303">
        <v>1</v>
      </c>
      <c r="E268" s="376">
        <v>15000</v>
      </c>
      <c r="F268" s="231"/>
      <c r="G268" s="231"/>
      <c r="H268" s="231"/>
      <c r="I268" s="278"/>
      <c r="J268" s="192"/>
    </row>
    <row r="269" spans="1:10" ht="15.75">
      <c r="A269" s="281">
        <v>7</v>
      </c>
      <c r="B269" s="302" t="s">
        <v>666</v>
      </c>
      <c r="C269" s="282" t="s">
        <v>660</v>
      </c>
      <c r="D269" s="303">
        <v>1</v>
      </c>
      <c r="E269" s="376">
        <v>15000</v>
      </c>
      <c r="F269" s="231"/>
      <c r="G269" s="231"/>
      <c r="H269" s="231"/>
      <c r="I269" s="278"/>
      <c r="J269" s="192"/>
    </row>
    <row r="270" spans="1:10" ht="31.5">
      <c r="A270" s="281">
        <v>8</v>
      </c>
      <c r="B270" s="302" t="s">
        <v>669</v>
      </c>
      <c r="C270" s="282" t="s">
        <v>660</v>
      </c>
      <c r="D270" s="303">
        <v>4</v>
      </c>
      <c r="E270" s="377">
        <f>1800000-564000-20000+1051898.98+32320.45-500000-400000-8000-100000</f>
        <v>1292219.4300000002</v>
      </c>
      <c r="F270" s="231"/>
      <c r="G270" s="231"/>
      <c r="H270" s="231"/>
      <c r="I270" s="278"/>
      <c r="J270" s="192"/>
    </row>
    <row r="271" spans="1:10" ht="31.5">
      <c r="A271" s="281">
        <v>9</v>
      </c>
      <c r="B271" s="302" t="s">
        <v>737</v>
      </c>
      <c r="C271" s="282" t="s">
        <v>660</v>
      </c>
      <c r="D271" s="303">
        <v>1</v>
      </c>
      <c r="E271" s="377">
        <v>80000</v>
      </c>
      <c r="F271" s="231"/>
      <c r="G271" s="231"/>
      <c r="H271" s="231"/>
      <c r="I271" s="278"/>
      <c r="J271" s="192"/>
    </row>
    <row r="272" spans="1:10" ht="31.5">
      <c r="A272" s="281">
        <v>10</v>
      </c>
      <c r="B272" s="302" t="s">
        <v>670</v>
      </c>
      <c r="C272" s="282" t="s">
        <v>660</v>
      </c>
      <c r="D272" s="303">
        <v>4</v>
      </c>
      <c r="E272" s="377">
        <v>120000</v>
      </c>
      <c r="F272" s="231"/>
      <c r="G272" s="231"/>
      <c r="H272" s="231"/>
      <c r="I272" s="278"/>
      <c r="J272" s="192"/>
    </row>
    <row r="273" spans="1:10" ht="47.25">
      <c r="A273" s="550">
        <v>11</v>
      </c>
      <c r="B273" s="302" t="s">
        <v>923</v>
      </c>
      <c r="C273" s="202"/>
      <c r="D273" s="202">
        <v>1</v>
      </c>
      <c r="E273" s="374">
        <v>60000</v>
      </c>
      <c r="F273" s="231"/>
      <c r="G273" s="231"/>
      <c r="H273" s="231"/>
      <c r="I273" s="278"/>
      <c r="J273" s="192"/>
    </row>
    <row r="274" spans="1:10" ht="31.5">
      <c r="A274" s="550">
        <v>12</v>
      </c>
      <c r="B274" s="302" t="s">
        <v>924</v>
      </c>
      <c r="C274" s="202"/>
      <c r="D274" s="202">
        <v>1</v>
      </c>
      <c r="E274" s="374">
        <v>30000</v>
      </c>
      <c r="F274" s="231"/>
      <c r="G274" s="231"/>
      <c r="H274" s="231"/>
      <c r="I274" s="278"/>
      <c r="J274" s="192"/>
    </row>
    <row r="275" spans="1:10" ht="31.5">
      <c r="A275" s="550">
        <v>13</v>
      </c>
      <c r="B275" s="302" t="s">
        <v>925</v>
      </c>
      <c r="C275" s="202"/>
      <c r="D275" s="202">
        <v>10</v>
      </c>
      <c r="E275" s="374">
        <v>50000</v>
      </c>
      <c r="F275" s="231"/>
      <c r="G275" s="231"/>
      <c r="H275" s="231"/>
      <c r="I275" s="278"/>
      <c r="J275" s="192"/>
    </row>
    <row r="276" spans="1:10" ht="31.5">
      <c r="A276" s="550">
        <v>14</v>
      </c>
      <c r="B276" s="302" t="s">
        <v>926</v>
      </c>
      <c r="C276" s="202"/>
      <c r="D276" s="202">
        <v>1</v>
      </c>
      <c r="E276" s="374">
        <v>155405.4</v>
      </c>
      <c r="F276" s="231"/>
      <c r="G276" s="231"/>
      <c r="H276" s="231"/>
      <c r="I276" s="278"/>
      <c r="J276" s="192"/>
    </row>
    <row r="277" spans="1:10" ht="15.75">
      <c r="A277" s="550">
        <v>15</v>
      </c>
      <c r="B277" s="302" t="s">
        <v>927</v>
      </c>
      <c r="C277" s="202"/>
      <c r="D277" s="202">
        <v>1</v>
      </c>
      <c r="E277" s="374">
        <v>172447</v>
      </c>
      <c r="F277" s="231"/>
      <c r="G277" s="231"/>
      <c r="H277" s="231"/>
      <c r="I277" s="278"/>
      <c r="J277" s="192"/>
    </row>
    <row r="278" spans="1:10" ht="15.75">
      <c r="A278" s="550"/>
      <c r="B278" s="551"/>
      <c r="C278" s="282"/>
      <c r="D278" s="544"/>
      <c r="E278" s="377"/>
      <c r="F278" s="231"/>
      <c r="G278" s="231"/>
      <c r="H278" s="231"/>
      <c r="I278" s="278"/>
      <c r="J278" s="192"/>
    </row>
    <row r="279" spans="1:10" ht="15.75">
      <c r="A279" s="550"/>
      <c r="B279" s="551"/>
      <c r="C279" s="282"/>
      <c r="D279" s="544"/>
      <c r="E279" s="377"/>
      <c r="F279" s="231"/>
      <c r="G279" s="231"/>
      <c r="H279" s="231"/>
      <c r="I279" s="278"/>
      <c r="J279" s="192"/>
    </row>
    <row r="280" spans="1:10" ht="15.75">
      <c r="A280" s="709" t="s">
        <v>561</v>
      </c>
      <c r="B280" s="711"/>
      <c r="C280" s="202" t="s">
        <v>562</v>
      </c>
      <c r="D280" s="202" t="s">
        <v>562</v>
      </c>
      <c r="E280" s="374">
        <f>SUM(E263:E277)</f>
        <v>2560479.56</v>
      </c>
      <c r="F280" s="276"/>
      <c r="G280" s="276"/>
      <c r="H280" s="276"/>
      <c r="I280" s="278"/>
      <c r="J280" s="192"/>
    </row>
    <row r="281" spans="1:10" ht="31.5">
      <c r="A281" s="281">
        <v>11</v>
      </c>
      <c r="B281" s="302" t="s">
        <v>750</v>
      </c>
      <c r="C281" s="282" t="s">
        <v>660</v>
      </c>
      <c r="D281" s="303">
        <v>1</v>
      </c>
      <c r="E281" s="377">
        <v>500000</v>
      </c>
      <c r="F281" s="276"/>
      <c r="G281" s="276"/>
      <c r="H281" s="276"/>
      <c r="I281" s="278"/>
      <c r="J281" s="192"/>
    </row>
    <row r="282" spans="1:10" ht="15.75">
      <c r="A282" s="709" t="s">
        <v>561</v>
      </c>
      <c r="B282" s="711"/>
      <c r="C282" s="202" t="s">
        <v>562</v>
      </c>
      <c r="D282" s="202" t="s">
        <v>562</v>
      </c>
      <c r="E282" s="374">
        <f>SUM(E281)</f>
        <v>500000</v>
      </c>
      <c r="F282" s="276"/>
      <c r="G282" s="276"/>
      <c r="H282" s="276"/>
      <c r="I282" s="278"/>
      <c r="J282" s="192"/>
    </row>
    <row r="283" spans="1:10" ht="15.75">
      <c r="A283" s="237"/>
      <c r="B283" s="192"/>
      <c r="C283" s="237"/>
      <c r="D283" s="237"/>
      <c r="E283" s="237"/>
      <c r="F283" s="237"/>
      <c r="G283" s="192"/>
      <c r="H283" s="278"/>
      <c r="I283" s="278"/>
      <c r="J283" s="192"/>
    </row>
    <row r="284" spans="1:10" ht="15.75" hidden="1">
      <c r="A284" s="283"/>
      <c r="B284" s="283" t="s">
        <v>863</v>
      </c>
      <c r="C284" s="283"/>
      <c r="D284" s="283"/>
      <c r="E284" s="283"/>
      <c r="F284" s="283"/>
      <c r="G284" s="192"/>
      <c r="H284" s="278"/>
      <c r="I284" s="278"/>
      <c r="J284" s="192"/>
    </row>
    <row r="285" spans="1:10" ht="15.75" hidden="1">
      <c r="A285" s="237"/>
      <c r="B285" s="192"/>
      <c r="C285" s="237"/>
      <c r="D285" s="237"/>
      <c r="E285" s="237"/>
      <c r="F285" s="237"/>
      <c r="G285" s="192"/>
      <c r="H285" s="278"/>
      <c r="I285" s="278"/>
      <c r="J285" s="192"/>
    </row>
    <row r="286" spans="1:10" ht="31.5" hidden="1">
      <c r="A286" s="689" t="s">
        <v>545</v>
      </c>
      <c r="B286" s="715" t="s">
        <v>566</v>
      </c>
      <c r="C286" s="715" t="s">
        <v>656</v>
      </c>
      <c r="D286" s="715" t="s">
        <v>657</v>
      </c>
      <c r="E286" s="236" t="s">
        <v>735</v>
      </c>
      <c r="F286" s="237"/>
      <c r="G286" s="237"/>
      <c r="H286" s="257"/>
      <c r="I286" s="278"/>
      <c r="J286" s="192"/>
    </row>
    <row r="287" spans="1:10" ht="31.5" hidden="1">
      <c r="A287" s="690"/>
      <c r="B287" s="715"/>
      <c r="C287" s="715"/>
      <c r="D287" s="715"/>
      <c r="E287" s="270" t="s">
        <v>736</v>
      </c>
      <c r="F287" s="364"/>
      <c r="G287" s="364"/>
      <c r="H287" s="272"/>
      <c r="I287" s="278"/>
      <c r="J287" s="192"/>
    </row>
    <row r="288" spans="1:10" ht="15.75" hidden="1">
      <c r="A288" s="281">
        <v>1</v>
      </c>
      <c r="B288" s="282">
        <v>2</v>
      </c>
      <c r="C288" s="282">
        <v>3</v>
      </c>
      <c r="D288" s="282">
        <v>4</v>
      </c>
      <c r="E288" s="274">
        <v>5</v>
      </c>
      <c r="F288" s="231"/>
      <c r="G288" s="231"/>
      <c r="H288" s="231"/>
      <c r="I288" s="278"/>
      <c r="J288" s="192"/>
    </row>
    <row r="289" spans="1:10" ht="47.25" hidden="1">
      <c r="A289" s="200">
        <v>1</v>
      </c>
      <c r="B289" s="302" t="s">
        <v>923</v>
      </c>
      <c r="C289" s="202"/>
      <c r="D289" s="202">
        <v>1</v>
      </c>
      <c r="E289" s="265"/>
      <c r="F289" s="276"/>
      <c r="G289" s="276"/>
      <c r="H289" s="276"/>
      <c r="I289" s="278"/>
      <c r="J289" s="192"/>
    </row>
    <row r="290" spans="1:10" ht="31.5" hidden="1">
      <c r="A290" s="200">
        <v>2</v>
      </c>
      <c r="B290" s="302" t="s">
        <v>924</v>
      </c>
      <c r="C290" s="202"/>
      <c r="D290" s="202">
        <v>1</v>
      </c>
      <c r="E290" s="265"/>
      <c r="F290" s="276"/>
      <c r="G290" s="276"/>
      <c r="H290" s="276"/>
      <c r="I290" s="278"/>
      <c r="J290" s="192"/>
    </row>
    <row r="291" spans="1:10" ht="31.5" hidden="1">
      <c r="A291" s="200">
        <v>3</v>
      </c>
      <c r="B291" s="302" t="s">
        <v>925</v>
      </c>
      <c r="C291" s="202"/>
      <c r="D291" s="202">
        <v>10</v>
      </c>
      <c r="E291" s="265"/>
      <c r="F291" s="276"/>
      <c r="G291" s="276"/>
      <c r="H291" s="276"/>
      <c r="I291" s="278"/>
      <c r="J291" s="192"/>
    </row>
    <row r="292" spans="1:10" ht="31.5" hidden="1">
      <c r="A292" s="200">
        <v>4</v>
      </c>
      <c r="B292" s="302" t="s">
        <v>926</v>
      </c>
      <c r="C292" s="202"/>
      <c r="D292" s="202">
        <v>1</v>
      </c>
      <c r="E292" s="265"/>
      <c r="F292" s="276"/>
      <c r="G292" s="276"/>
      <c r="H292" s="276"/>
      <c r="I292" s="278"/>
      <c r="J292" s="192"/>
    </row>
    <row r="293" spans="1:10" ht="15.75" hidden="1">
      <c r="A293" s="200">
        <v>4</v>
      </c>
      <c r="B293" s="302" t="s">
        <v>927</v>
      </c>
      <c r="C293" s="202"/>
      <c r="D293" s="202">
        <v>1</v>
      </c>
      <c r="E293" s="265"/>
      <c r="F293" s="276"/>
      <c r="G293" s="276"/>
      <c r="H293" s="276"/>
      <c r="I293" s="278"/>
      <c r="J293" s="192"/>
    </row>
    <row r="294" spans="1:10" ht="15.75" hidden="1">
      <c r="A294" s="709" t="s">
        <v>561</v>
      </c>
      <c r="B294" s="711"/>
      <c r="C294" s="202" t="s">
        <v>562</v>
      </c>
      <c r="D294" s="202" t="s">
        <v>562</v>
      </c>
      <c r="E294" s="374">
        <f>SUM(E289:E293)</f>
        <v>0</v>
      </c>
      <c r="F294" s="276"/>
      <c r="G294" s="276"/>
      <c r="H294" s="276"/>
      <c r="I294" s="278"/>
      <c r="J294" s="192"/>
    </row>
    <row r="295" spans="1:10" ht="15.75">
      <c r="A295" s="237"/>
      <c r="B295" s="192"/>
      <c r="C295" s="237"/>
      <c r="D295" s="237"/>
      <c r="E295" s="237"/>
      <c r="F295" s="237"/>
      <c r="G295" s="192"/>
      <c r="H295" s="278"/>
      <c r="I295" s="278"/>
      <c r="J295" s="192"/>
    </row>
    <row r="296" spans="1:10" ht="15.75">
      <c r="A296" s="237"/>
      <c r="B296" s="192"/>
      <c r="C296" s="237"/>
      <c r="D296" s="237"/>
      <c r="E296" s="237"/>
      <c r="F296" s="237"/>
      <c r="G296" s="192"/>
      <c r="H296" s="278"/>
      <c r="I296" s="278"/>
      <c r="J296" s="192"/>
    </row>
    <row r="297" spans="1:11" ht="53.25" customHeight="1">
      <c r="A297" s="712" t="s">
        <v>671</v>
      </c>
      <c r="B297" s="712"/>
      <c r="C297" s="712"/>
      <c r="D297" s="712"/>
      <c r="E297" s="712"/>
      <c r="F297" s="712"/>
      <c r="G297" s="712"/>
      <c r="H297" s="712"/>
      <c r="I297" s="712"/>
      <c r="J297" s="712"/>
      <c r="K297" s="712"/>
    </row>
    <row r="298" spans="1:10" ht="15.75">
      <c r="A298" s="237"/>
      <c r="B298" s="192"/>
      <c r="C298" s="237"/>
      <c r="D298" s="237"/>
      <c r="E298" s="237"/>
      <c r="F298" s="237"/>
      <c r="G298" s="192"/>
      <c r="H298" s="278"/>
      <c r="I298" s="278"/>
      <c r="J298" s="192"/>
    </row>
    <row r="299" spans="1:10" ht="15.75">
      <c r="A299" s="283"/>
      <c r="B299" s="283" t="s">
        <v>672</v>
      </c>
      <c r="C299" s="283"/>
      <c r="D299" s="283"/>
      <c r="E299" s="283"/>
      <c r="F299" s="237"/>
      <c r="G299" s="192"/>
      <c r="H299" s="278"/>
      <c r="I299" s="278"/>
      <c r="J299" s="192"/>
    </row>
    <row r="300" spans="1:10" ht="15.75">
      <c r="A300" s="237"/>
      <c r="B300" s="192"/>
      <c r="C300" s="237"/>
      <c r="D300" s="237"/>
      <c r="E300" s="237"/>
      <c r="F300" s="237"/>
      <c r="G300" s="192"/>
      <c r="H300" s="278"/>
      <c r="I300" s="278"/>
      <c r="J300" s="192"/>
    </row>
    <row r="301" spans="1:10" ht="39" customHeight="1">
      <c r="A301" s="689" t="s">
        <v>545</v>
      </c>
      <c r="B301" s="715" t="s">
        <v>1</v>
      </c>
      <c r="C301" s="715" t="s">
        <v>673</v>
      </c>
      <c r="D301" s="236" t="s">
        <v>738</v>
      </c>
      <c r="E301" s="237"/>
      <c r="F301" s="237"/>
      <c r="G301" s="257"/>
      <c r="H301" s="278"/>
      <c r="I301" s="278"/>
      <c r="J301" s="192"/>
    </row>
    <row r="302" spans="1:10" ht="31.5">
      <c r="A302" s="690"/>
      <c r="B302" s="715"/>
      <c r="C302" s="715"/>
      <c r="D302" s="270" t="s">
        <v>739</v>
      </c>
      <c r="E302" s="364"/>
      <c r="F302" s="364"/>
      <c r="G302" s="272"/>
      <c r="H302" s="278"/>
      <c r="I302" s="278"/>
      <c r="J302" s="192"/>
    </row>
    <row r="303" spans="1:10" ht="15.75">
      <c r="A303" s="281">
        <v>1</v>
      </c>
      <c r="B303" s="282">
        <v>2</v>
      </c>
      <c r="C303" s="282">
        <v>3</v>
      </c>
      <c r="D303" s="274">
        <v>5</v>
      </c>
      <c r="E303" s="231"/>
      <c r="F303" s="231"/>
      <c r="G303" s="231"/>
      <c r="H303" s="278"/>
      <c r="I303" s="278"/>
      <c r="J303" s="192"/>
    </row>
    <row r="304" spans="1:10" ht="63">
      <c r="A304" s="281">
        <v>1</v>
      </c>
      <c r="B304" s="302" t="s">
        <v>675</v>
      </c>
      <c r="C304" s="378">
        <v>3</v>
      </c>
      <c r="D304" s="379">
        <v>134000</v>
      </c>
      <c r="E304" s="231"/>
      <c r="F304" s="231"/>
      <c r="G304" s="231"/>
      <c r="H304" s="278"/>
      <c r="I304" s="278"/>
      <c r="J304" s="192"/>
    </row>
    <row r="305" spans="1:10" ht="47.25">
      <c r="A305" s="281">
        <v>2</v>
      </c>
      <c r="B305" s="302" t="s">
        <v>676</v>
      </c>
      <c r="C305" s="378">
        <v>4</v>
      </c>
      <c r="D305" s="379">
        <v>100000</v>
      </c>
      <c r="E305" s="231"/>
      <c r="F305" s="231"/>
      <c r="G305" s="231"/>
      <c r="H305" s="278"/>
      <c r="I305" s="278"/>
      <c r="J305" s="192"/>
    </row>
    <row r="306" spans="1:10" ht="15.75">
      <c r="A306" s="281">
        <v>3</v>
      </c>
      <c r="B306" s="302" t="s">
        <v>677</v>
      </c>
      <c r="C306" s="378">
        <v>2</v>
      </c>
      <c r="D306" s="379">
        <v>35000</v>
      </c>
      <c r="E306" s="231"/>
      <c r="F306" s="231"/>
      <c r="G306" s="231"/>
      <c r="H306" s="278"/>
      <c r="I306" s="278"/>
      <c r="J306" s="192"/>
    </row>
    <row r="307" spans="1:10" ht="15.75">
      <c r="A307" s="281">
        <v>4</v>
      </c>
      <c r="B307" s="302" t="s">
        <v>678</v>
      </c>
      <c r="C307" s="378">
        <v>1</v>
      </c>
      <c r="D307" s="379">
        <v>80000</v>
      </c>
      <c r="E307" s="231"/>
      <c r="F307" s="231"/>
      <c r="G307" s="231"/>
      <c r="H307" s="278"/>
      <c r="I307" s="278"/>
      <c r="J307" s="192"/>
    </row>
    <row r="308" spans="1:10" ht="31.5">
      <c r="A308" s="281">
        <v>5</v>
      </c>
      <c r="B308" s="302" t="s">
        <v>740</v>
      </c>
      <c r="C308" s="378">
        <v>1</v>
      </c>
      <c r="D308" s="379">
        <v>50000</v>
      </c>
      <c r="E308" s="231"/>
      <c r="F308" s="231"/>
      <c r="G308" s="231"/>
      <c r="H308" s="278"/>
      <c r="I308" s="278"/>
      <c r="J308" s="192"/>
    </row>
    <row r="309" spans="1:10" ht="16.5" customHeight="1">
      <c r="A309" s="281">
        <v>6</v>
      </c>
      <c r="B309" s="302" t="s">
        <v>741</v>
      </c>
      <c r="C309" s="378">
        <v>1</v>
      </c>
      <c r="D309" s="379">
        <v>80000</v>
      </c>
      <c r="E309" s="276"/>
      <c r="F309" s="276"/>
      <c r="G309" s="276"/>
      <c r="H309" s="278"/>
      <c r="I309" s="278"/>
      <c r="J309" s="192"/>
    </row>
    <row r="310" spans="1:10" ht="31.5">
      <c r="A310" s="281">
        <v>7</v>
      </c>
      <c r="B310" s="302" t="s">
        <v>742</v>
      </c>
      <c r="C310" s="378">
        <v>5</v>
      </c>
      <c r="D310" s="379">
        <f>295014.58+72402.32</f>
        <v>367416.9</v>
      </c>
      <c r="E310" s="276"/>
      <c r="F310" s="276"/>
      <c r="G310" s="276"/>
      <c r="H310" s="278"/>
      <c r="I310" s="278"/>
      <c r="J310" s="192"/>
    </row>
    <row r="311" spans="1:10" ht="31.5">
      <c r="A311" s="281">
        <v>8</v>
      </c>
      <c r="B311" s="302" t="s">
        <v>743</v>
      </c>
      <c r="C311" s="378">
        <v>24</v>
      </c>
      <c r="D311" s="379">
        <f>550000+122859.79-1000</f>
        <v>671859.79</v>
      </c>
      <c r="E311" s="276"/>
      <c r="F311" s="276"/>
      <c r="G311" s="276"/>
      <c r="H311" s="278"/>
      <c r="I311" s="278"/>
      <c r="J311" s="192"/>
    </row>
    <row r="312" spans="1:10" ht="47.25">
      <c r="A312" s="550">
        <v>9</v>
      </c>
      <c r="B312" s="302" t="s">
        <v>928</v>
      </c>
      <c r="C312" s="202">
        <v>6</v>
      </c>
      <c r="D312" s="374">
        <v>9600</v>
      </c>
      <c r="E312" s="276"/>
      <c r="F312" s="276"/>
      <c r="G312" s="276"/>
      <c r="H312" s="278"/>
      <c r="I312" s="278"/>
      <c r="J312" s="192"/>
    </row>
    <row r="313" spans="1:10" ht="47.25">
      <c r="A313" s="550">
        <v>10</v>
      </c>
      <c r="B313" s="302" t="s">
        <v>929</v>
      </c>
      <c r="C313" s="202">
        <v>1</v>
      </c>
      <c r="D313" s="374">
        <v>18000</v>
      </c>
      <c r="E313" s="276"/>
      <c r="F313" s="276"/>
      <c r="G313" s="276"/>
      <c r="H313" s="278"/>
      <c r="I313" s="278"/>
      <c r="J313" s="192"/>
    </row>
    <row r="314" spans="1:10" ht="15.75">
      <c r="A314" s="550">
        <v>11</v>
      </c>
      <c r="B314" s="302" t="s">
        <v>930</v>
      </c>
      <c r="C314" s="202">
        <v>1</v>
      </c>
      <c r="D314" s="374">
        <v>111321</v>
      </c>
      <c r="E314" s="276"/>
      <c r="F314" s="276"/>
      <c r="G314" s="276"/>
      <c r="H314" s="278"/>
      <c r="I314" s="278"/>
      <c r="J314" s="192"/>
    </row>
    <row r="315" spans="1:10" ht="31.5">
      <c r="A315" s="550">
        <v>12</v>
      </c>
      <c r="B315" s="302" t="s">
        <v>931</v>
      </c>
      <c r="C315" s="202">
        <v>36</v>
      </c>
      <c r="D315" s="374">
        <v>39079</v>
      </c>
      <c r="E315" s="276"/>
      <c r="F315" s="276"/>
      <c r="G315" s="276"/>
      <c r="H315" s="278"/>
      <c r="I315" s="278"/>
      <c r="J315" s="192"/>
    </row>
    <row r="316" spans="1:10" ht="47.25">
      <c r="A316" s="550">
        <v>13</v>
      </c>
      <c r="B316" s="302" t="s">
        <v>932</v>
      </c>
      <c r="C316" s="202">
        <v>1</v>
      </c>
      <c r="D316" s="374">
        <v>15000</v>
      </c>
      <c r="E316" s="276"/>
      <c r="F316" s="276"/>
      <c r="G316" s="276"/>
      <c r="H316" s="278"/>
      <c r="I316" s="278"/>
      <c r="J316" s="192"/>
    </row>
    <row r="317" spans="1:10" ht="15.75">
      <c r="A317" s="550"/>
      <c r="B317" s="551"/>
      <c r="C317" s="378"/>
      <c r="D317" s="379"/>
      <c r="E317" s="276"/>
      <c r="F317" s="276"/>
      <c r="G317" s="276"/>
      <c r="H317" s="278"/>
      <c r="I317" s="278"/>
      <c r="J317" s="192"/>
    </row>
    <row r="318" spans="1:10" ht="15.75">
      <c r="A318" s="550"/>
      <c r="B318" s="551"/>
      <c r="C318" s="378"/>
      <c r="D318" s="379"/>
      <c r="E318" s="276"/>
      <c r="F318" s="276"/>
      <c r="G318" s="276"/>
      <c r="H318" s="278"/>
      <c r="I318" s="278"/>
      <c r="J318" s="192"/>
    </row>
    <row r="319" spans="1:10" ht="15.75">
      <c r="A319" s="726" t="s">
        <v>561</v>
      </c>
      <c r="B319" s="727"/>
      <c r="C319" s="305" t="s">
        <v>562</v>
      </c>
      <c r="D319" s="374">
        <f>SUM(D304:D316)</f>
        <v>1711276.69</v>
      </c>
      <c r="E319" s="276"/>
      <c r="F319" s="276"/>
      <c r="G319" s="276"/>
      <c r="H319" s="278"/>
      <c r="I319" s="278"/>
      <c r="J319" s="192"/>
    </row>
    <row r="320" spans="1:10" ht="15.75">
      <c r="A320" s="237"/>
      <c r="B320" s="192"/>
      <c r="C320" s="237"/>
      <c r="D320" s="237"/>
      <c r="E320" s="237"/>
      <c r="F320" s="237"/>
      <c r="G320" s="192"/>
      <c r="H320" s="278"/>
      <c r="I320" s="278"/>
      <c r="J320" s="192"/>
    </row>
    <row r="321" spans="1:10" ht="15.75" hidden="1">
      <c r="A321" s="283"/>
      <c r="B321" s="283" t="s">
        <v>891</v>
      </c>
      <c r="C321" s="283"/>
      <c r="D321" s="283"/>
      <c r="E321" s="283"/>
      <c r="F321" s="237"/>
      <c r="G321" s="192"/>
      <c r="H321" s="278"/>
      <c r="I321" s="278"/>
      <c r="J321" s="192"/>
    </row>
    <row r="322" spans="1:10" ht="15.75" hidden="1">
      <c r="A322" s="237"/>
      <c r="B322" s="192"/>
      <c r="C322" s="237"/>
      <c r="D322" s="237"/>
      <c r="E322" s="237"/>
      <c r="F322" s="237"/>
      <c r="G322" s="192"/>
      <c r="H322" s="278"/>
      <c r="I322" s="278"/>
      <c r="J322" s="192"/>
    </row>
    <row r="323" spans="1:10" ht="31.5" hidden="1">
      <c r="A323" s="689" t="s">
        <v>545</v>
      </c>
      <c r="B323" s="715" t="s">
        <v>1</v>
      </c>
      <c r="C323" s="715" t="s">
        <v>673</v>
      </c>
      <c r="D323" s="236" t="s">
        <v>738</v>
      </c>
      <c r="E323" s="237"/>
      <c r="F323" s="237"/>
      <c r="G323" s="257"/>
      <c r="H323" s="278"/>
      <c r="I323" s="278"/>
      <c r="J323" s="192"/>
    </row>
    <row r="324" spans="1:10" ht="31.5" hidden="1">
      <c r="A324" s="690"/>
      <c r="B324" s="715"/>
      <c r="C324" s="715"/>
      <c r="D324" s="270" t="s">
        <v>739</v>
      </c>
      <c r="E324" s="364"/>
      <c r="F324" s="364"/>
      <c r="G324" s="272"/>
      <c r="H324" s="278"/>
      <c r="I324" s="278"/>
      <c r="J324" s="192"/>
    </row>
    <row r="325" spans="1:10" ht="15.75" hidden="1">
      <c r="A325" s="281">
        <v>1</v>
      </c>
      <c r="B325" s="282">
        <v>2</v>
      </c>
      <c r="C325" s="282">
        <v>3</v>
      </c>
      <c r="D325" s="274">
        <v>5</v>
      </c>
      <c r="E325" s="231"/>
      <c r="F325" s="231"/>
      <c r="G325" s="231"/>
      <c r="H325" s="278"/>
      <c r="I325" s="278"/>
      <c r="J325" s="192"/>
    </row>
    <row r="326" spans="1:10" ht="47.25" hidden="1">
      <c r="A326" s="200">
        <v>1</v>
      </c>
      <c r="B326" s="302" t="s">
        <v>928</v>
      </c>
      <c r="C326" s="202">
        <v>6</v>
      </c>
      <c r="D326" s="265"/>
      <c r="E326" s="276"/>
      <c r="F326" s="276"/>
      <c r="G326" s="276"/>
      <c r="H326" s="278"/>
      <c r="I326" s="278"/>
      <c r="J326" s="192"/>
    </row>
    <row r="327" spans="1:10" ht="47.25" hidden="1">
      <c r="A327" s="200">
        <v>2</v>
      </c>
      <c r="B327" s="302" t="s">
        <v>929</v>
      </c>
      <c r="C327" s="202">
        <v>1</v>
      </c>
      <c r="D327" s="265"/>
      <c r="E327" s="276"/>
      <c r="F327" s="276"/>
      <c r="G327" s="276"/>
      <c r="H327" s="278"/>
      <c r="I327" s="278"/>
      <c r="J327" s="192"/>
    </row>
    <row r="328" spans="1:10" ht="15.75" hidden="1">
      <c r="A328" s="200">
        <v>3</v>
      </c>
      <c r="B328" s="302" t="s">
        <v>930</v>
      </c>
      <c r="C328" s="202">
        <v>1</v>
      </c>
      <c r="D328" s="265"/>
      <c r="E328" s="276"/>
      <c r="F328" s="276"/>
      <c r="G328" s="276"/>
      <c r="H328" s="278"/>
      <c r="I328" s="278"/>
      <c r="J328" s="192"/>
    </row>
    <row r="329" spans="1:10" ht="31.5" hidden="1">
      <c r="A329" s="200">
        <v>4</v>
      </c>
      <c r="B329" s="302" t="s">
        <v>931</v>
      </c>
      <c r="C329" s="202">
        <v>36</v>
      </c>
      <c r="D329" s="265"/>
      <c r="E329" s="276"/>
      <c r="F329" s="276"/>
      <c r="G329" s="276"/>
      <c r="H329" s="278"/>
      <c r="I329" s="278"/>
      <c r="J329" s="192"/>
    </row>
    <row r="330" spans="1:10" ht="47.25" hidden="1">
      <c r="A330" s="200">
        <v>5</v>
      </c>
      <c r="B330" s="302" t="s">
        <v>932</v>
      </c>
      <c r="C330" s="202">
        <v>1</v>
      </c>
      <c r="D330" s="265"/>
      <c r="E330" s="276"/>
      <c r="F330" s="276"/>
      <c r="G330" s="276"/>
      <c r="H330" s="278"/>
      <c r="I330" s="278"/>
      <c r="J330" s="192"/>
    </row>
    <row r="331" spans="1:10" ht="15.75" hidden="1">
      <c r="A331" s="709" t="s">
        <v>561</v>
      </c>
      <c r="B331" s="711"/>
      <c r="C331" s="202" t="s">
        <v>562</v>
      </c>
      <c r="D331" s="374">
        <f>SUM(D326:D330)</f>
        <v>0</v>
      </c>
      <c r="E331" s="276"/>
      <c r="F331" s="276"/>
      <c r="G331" s="276"/>
      <c r="H331" s="278"/>
      <c r="I331" s="278"/>
      <c r="J331" s="192"/>
    </row>
    <row r="332" spans="1:10" ht="15.75">
      <c r="A332" s="237"/>
      <c r="B332" s="192"/>
      <c r="C332" s="237"/>
      <c r="D332" s="237"/>
      <c r="E332" s="237"/>
      <c r="F332" s="237"/>
      <c r="G332" s="192"/>
      <c r="H332" s="278"/>
      <c r="I332" s="278"/>
      <c r="J332" s="192"/>
    </row>
    <row r="333" spans="1:11" ht="149.25" customHeight="1">
      <c r="A333" s="712" t="s">
        <v>679</v>
      </c>
      <c r="B333" s="712"/>
      <c r="C333" s="712"/>
      <c r="D333" s="712"/>
      <c r="E333" s="712"/>
      <c r="F333" s="712"/>
      <c r="G333" s="712"/>
      <c r="H333" s="712"/>
      <c r="I333" s="712"/>
      <c r="J333" s="712"/>
      <c r="K333" s="712"/>
    </row>
    <row r="334" spans="1:10" ht="15.75">
      <c r="A334" s="237"/>
      <c r="B334" s="192"/>
      <c r="C334" s="237"/>
      <c r="D334" s="237"/>
      <c r="E334" s="237"/>
      <c r="F334" s="237"/>
      <c r="G334" s="192"/>
      <c r="H334" s="278"/>
      <c r="I334" s="278"/>
      <c r="J334" s="192"/>
    </row>
    <row r="335" spans="1:4" ht="15.75">
      <c r="A335" s="194"/>
      <c r="B335" s="194" t="s">
        <v>680</v>
      </c>
      <c r="C335" s="194"/>
      <c r="D335" s="194"/>
    </row>
    <row r="336" ht="15.75">
      <c r="B336" s="186"/>
    </row>
    <row r="337" spans="1:10" ht="50.25" customHeight="1">
      <c r="A337" s="689" t="s">
        <v>545</v>
      </c>
      <c r="B337" s="689" t="s">
        <v>566</v>
      </c>
      <c r="C337" s="729"/>
      <c r="D337" s="677" t="s">
        <v>651</v>
      </c>
      <c r="E337" s="679" t="s">
        <v>681</v>
      </c>
      <c r="F337" s="227" t="s">
        <v>744</v>
      </c>
      <c r="G337" s="353"/>
      <c r="H337" s="353"/>
      <c r="I337" s="309"/>
      <c r="J337" s="226"/>
    </row>
    <row r="338" spans="1:10" ht="41.25" customHeight="1">
      <c r="A338" s="690"/>
      <c r="B338" s="690"/>
      <c r="C338" s="730"/>
      <c r="D338" s="678"/>
      <c r="E338" s="680"/>
      <c r="F338" s="227" t="s">
        <v>745</v>
      </c>
      <c r="G338" s="353"/>
      <c r="H338" s="353"/>
      <c r="I338" s="192"/>
      <c r="J338" s="228"/>
    </row>
    <row r="339" spans="1:10" ht="15.75" customHeight="1">
      <c r="A339" s="232">
        <v>1</v>
      </c>
      <c r="B339" s="731">
        <v>2</v>
      </c>
      <c r="C339" s="732"/>
      <c r="D339" s="232">
        <v>3</v>
      </c>
      <c r="E339" s="232">
        <v>4</v>
      </c>
      <c r="F339" s="232">
        <v>5</v>
      </c>
      <c r="G339" s="278"/>
      <c r="H339" s="278"/>
      <c r="I339" s="278"/>
      <c r="J339" s="278"/>
    </row>
    <row r="340" spans="1:10" ht="15.75">
      <c r="A340" s="206">
        <v>1</v>
      </c>
      <c r="B340" s="733" t="s">
        <v>683</v>
      </c>
      <c r="C340" s="734"/>
      <c r="D340" s="200">
        <v>412</v>
      </c>
      <c r="E340" s="482">
        <v>208.12</v>
      </c>
      <c r="F340" s="265">
        <f>83248+200000</f>
        <v>283248</v>
      </c>
      <c r="G340" s="278"/>
      <c r="H340" s="278"/>
      <c r="I340" s="278"/>
      <c r="J340" s="192"/>
    </row>
    <row r="341" spans="1:10" ht="15.75">
      <c r="A341" s="206">
        <v>2</v>
      </c>
      <c r="B341" s="733" t="s">
        <v>684</v>
      </c>
      <c r="C341" s="734"/>
      <c r="D341" s="200">
        <v>1400</v>
      </c>
      <c r="E341" s="200">
        <v>15</v>
      </c>
      <c r="F341" s="265">
        <f>D341*E341</f>
        <v>21000</v>
      </c>
      <c r="G341" s="278"/>
      <c r="H341" s="278"/>
      <c r="I341" s="278"/>
      <c r="J341" s="192"/>
    </row>
    <row r="342" spans="1:10" ht="15.75">
      <c r="A342" s="206">
        <v>3</v>
      </c>
      <c r="B342" s="742" t="s">
        <v>933</v>
      </c>
      <c r="C342" s="743"/>
      <c r="D342" s="232">
        <v>1</v>
      </c>
      <c r="E342" s="232">
        <v>20000</v>
      </c>
      <c r="F342" s="363">
        <v>20000</v>
      </c>
      <c r="G342" s="278"/>
      <c r="H342" s="278"/>
      <c r="I342" s="278"/>
      <c r="J342" s="192"/>
    </row>
    <row r="343" spans="1:10" ht="15.75">
      <c r="A343" s="206">
        <v>4</v>
      </c>
      <c r="B343" s="684" t="s">
        <v>934</v>
      </c>
      <c r="C343" s="766"/>
      <c r="D343" s="232">
        <v>2</v>
      </c>
      <c r="E343" s="232">
        <v>35000</v>
      </c>
      <c r="F343" s="363">
        <v>70000</v>
      </c>
      <c r="G343" s="278"/>
      <c r="H343" s="278"/>
      <c r="I343" s="278"/>
      <c r="J343" s="192"/>
    </row>
    <row r="344" spans="1:10" ht="15.75">
      <c r="A344" s="206">
        <v>5</v>
      </c>
      <c r="B344" s="742" t="s">
        <v>935</v>
      </c>
      <c r="C344" s="743"/>
      <c r="D344" s="232">
        <v>32</v>
      </c>
      <c r="E344" s="232">
        <v>2500</v>
      </c>
      <c r="F344" s="363">
        <v>80000</v>
      </c>
      <c r="G344" s="278"/>
      <c r="H344" s="278"/>
      <c r="I344" s="278"/>
      <c r="J344" s="192"/>
    </row>
    <row r="345" spans="1:10" ht="15.75">
      <c r="A345" s="206">
        <v>6</v>
      </c>
      <c r="B345" s="742" t="s">
        <v>905</v>
      </c>
      <c r="C345" s="743"/>
      <c r="D345" s="232"/>
      <c r="E345" s="232"/>
      <c r="F345" s="363">
        <v>100000</v>
      </c>
      <c r="G345" s="278"/>
      <c r="H345" s="278"/>
      <c r="I345" s="278"/>
      <c r="J345" s="192"/>
    </row>
    <row r="346" spans="1:10" ht="15.75">
      <c r="A346" s="206"/>
      <c r="B346" s="544"/>
      <c r="C346" s="545"/>
      <c r="D346" s="200"/>
      <c r="E346" s="200"/>
      <c r="F346" s="265"/>
      <c r="G346" s="278"/>
      <c r="H346" s="278"/>
      <c r="I346" s="278"/>
      <c r="J346" s="192"/>
    </row>
    <row r="347" spans="1:10" ht="15.75">
      <c r="A347" s="206"/>
      <c r="B347" s="716"/>
      <c r="C347" s="718"/>
      <c r="D347" s="200"/>
      <c r="E347" s="200"/>
      <c r="F347" s="265"/>
      <c r="G347" s="192"/>
      <c r="H347" s="278"/>
      <c r="I347" s="278"/>
      <c r="J347" s="192"/>
    </row>
    <row r="348" spans="1:10" ht="15.75">
      <c r="A348" s="739" t="s">
        <v>571</v>
      </c>
      <c r="B348" s="740"/>
      <c r="C348" s="741"/>
      <c r="D348" s="315"/>
      <c r="E348" s="315" t="s">
        <v>562</v>
      </c>
      <c r="F348" s="374">
        <f>SUM(F340:F347)</f>
        <v>574248</v>
      </c>
      <c r="G348" s="192"/>
      <c r="H348" s="192"/>
      <c r="I348" s="192"/>
      <c r="J348" s="192"/>
    </row>
    <row r="349" ht="15.75">
      <c r="B349" s="186"/>
    </row>
    <row r="350" spans="1:4" ht="15.75" hidden="1">
      <c r="A350" s="194"/>
      <c r="B350" s="194" t="s">
        <v>904</v>
      </c>
      <c r="C350" s="194"/>
      <c r="D350" s="194"/>
    </row>
    <row r="351" ht="15.75" hidden="1">
      <c r="B351" s="186"/>
    </row>
    <row r="352" spans="1:10" ht="31.5" hidden="1">
      <c r="A352" s="689" t="s">
        <v>545</v>
      </c>
      <c r="B352" s="689" t="s">
        <v>566</v>
      </c>
      <c r="C352" s="729"/>
      <c r="D352" s="677" t="s">
        <v>651</v>
      </c>
      <c r="E352" s="679" t="s">
        <v>681</v>
      </c>
      <c r="F352" s="227" t="s">
        <v>744</v>
      </c>
      <c r="G352" s="353"/>
      <c r="H352" s="353"/>
      <c r="I352" s="309"/>
      <c r="J352" s="226"/>
    </row>
    <row r="353" spans="1:10" ht="31.5" hidden="1">
      <c r="A353" s="690"/>
      <c r="B353" s="690"/>
      <c r="C353" s="730"/>
      <c r="D353" s="678"/>
      <c r="E353" s="680"/>
      <c r="F353" s="227" t="s">
        <v>745</v>
      </c>
      <c r="G353" s="353"/>
      <c r="H353" s="353"/>
      <c r="I353" s="192"/>
      <c r="J353" s="228"/>
    </row>
    <row r="354" spans="1:10" ht="15.75" hidden="1">
      <c r="A354" s="232">
        <v>1</v>
      </c>
      <c r="B354" s="731">
        <v>2</v>
      </c>
      <c r="C354" s="732"/>
      <c r="D354" s="232">
        <v>3</v>
      </c>
      <c r="E354" s="232">
        <v>4</v>
      </c>
      <c r="F354" s="232">
        <v>5</v>
      </c>
      <c r="G354" s="278"/>
      <c r="H354" s="278"/>
      <c r="I354" s="278"/>
      <c r="J354" s="278"/>
    </row>
    <row r="355" spans="1:10" ht="15.75" hidden="1">
      <c r="A355" s="232">
        <v>1</v>
      </c>
      <c r="B355" s="742" t="s">
        <v>933</v>
      </c>
      <c r="C355" s="743"/>
      <c r="D355" s="232">
        <v>1</v>
      </c>
      <c r="E355" s="232">
        <v>20000</v>
      </c>
      <c r="F355" s="355"/>
      <c r="G355" s="278"/>
      <c r="H355" s="278"/>
      <c r="I355" s="278"/>
      <c r="J355" s="192"/>
    </row>
    <row r="356" spans="1:10" ht="15.75" hidden="1">
      <c r="A356" s="232">
        <v>2</v>
      </c>
      <c r="B356" s="684" t="s">
        <v>934</v>
      </c>
      <c r="C356" s="766"/>
      <c r="D356" s="232">
        <v>2</v>
      </c>
      <c r="E356" s="232">
        <v>35000</v>
      </c>
      <c r="F356" s="355"/>
      <c r="G356" s="278"/>
      <c r="H356" s="278"/>
      <c r="I356" s="278"/>
      <c r="J356" s="192"/>
    </row>
    <row r="357" spans="1:10" ht="15.75" hidden="1">
      <c r="A357" s="232">
        <v>3</v>
      </c>
      <c r="B357" s="742" t="s">
        <v>935</v>
      </c>
      <c r="C357" s="743"/>
      <c r="D357" s="232">
        <v>32</v>
      </c>
      <c r="E357" s="232">
        <v>2500</v>
      </c>
      <c r="F357" s="355"/>
      <c r="G357" s="278"/>
      <c r="H357" s="278"/>
      <c r="I357" s="278"/>
      <c r="J357" s="192"/>
    </row>
    <row r="358" spans="1:10" ht="15.75" hidden="1">
      <c r="A358" s="232">
        <v>4</v>
      </c>
      <c r="B358" s="742" t="s">
        <v>905</v>
      </c>
      <c r="C358" s="743"/>
      <c r="D358" s="232"/>
      <c r="E358" s="232"/>
      <c r="F358" s="355"/>
      <c r="G358" s="192"/>
      <c r="H358" s="278"/>
      <c r="I358" s="278"/>
      <c r="J358" s="192"/>
    </row>
    <row r="359" spans="1:10" ht="15.75" hidden="1">
      <c r="A359" s="684" t="s">
        <v>571</v>
      </c>
      <c r="B359" s="735"/>
      <c r="C359" s="685"/>
      <c r="D359" s="200"/>
      <c r="E359" s="200" t="s">
        <v>562</v>
      </c>
      <c r="F359" s="374">
        <f>SUM(F355:F358)</f>
        <v>0</v>
      </c>
      <c r="G359" s="192"/>
      <c r="H359" s="192"/>
      <c r="I359" s="192"/>
      <c r="J359" s="192"/>
    </row>
    <row r="360" ht="15.75">
      <c r="B360" s="186"/>
    </row>
    <row r="361" spans="1:4" ht="15.75">
      <c r="A361" s="194"/>
      <c r="B361" s="194" t="s">
        <v>686</v>
      </c>
      <c r="C361" s="194"/>
      <c r="D361" s="194"/>
    </row>
    <row r="362" ht="15.75">
      <c r="B362" s="186"/>
    </row>
    <row r="363" spans="1:10" ht="41.25" customHeight="1">
      <c r="A363" s="689" t="s">
        <v>545</v>
      </c>
      <c r="B363" s="689" t="s">
        <v>566</v>
      </c>
      <c r="C363" s="729"/>
      <c r="D363" s="677" t="s">
        <v>651</v>
      </c>
      <c r="E363" s="679" t="s">
        <v>681</v>
      </c>
      <c r="F363" s="227" t="s">
        <v>744</v>
      </c>
      <c r="G363" s="353"/>
      <c r="H363" s="353"/>
      <c r="I363" s="309"/>
      <c r="J363" s="226"/>
    </row>
    <row r="364" spans="1:10" ht="42.75" customHeight="1">
      <c r="A364" s="690"/>
      <c r="B364" s="690"/>
      <c r="C364" s="730"/>
      <c r="D364" s="678"/>
      <c r="E364" s="680"/>
      <c r="F364" s="227" t="s">
        <v>745</v>
      </c>
      <c r="G364" s="353"/>
      <c r="H364" s="353"/>
      <c r="I364" s="192"/>
      <c r="J364" s="228"/>
    </row>
    <row r="365" spans="1:10" ht="15.75" customHeight="1">
      <c r="A365" s="232">
        <v>1</v>
      </c>
      <c r="B365" s="731">
        <v>2</v>
      </c>
      <c r="C365" s="732"/>
      <c r="D365" s="232">
        <v>3</v>
      </c>
      <c r="E365" s="232">
        <v>4</v>
      </c>
      <c r="F365" s="232">
        <v>5</v>
      </c>
      <c r="G365" s="278"/>
      <c r="H365" s="278"/>
      <c r="I365" s="278"/>
      <c r="J365" s="278"/>
    </row>
    <row r="366" spans="1:10" ht="15.75">
      <c r="A366" s="206">
        <v>1</v>
      </c>
      <c r="B366" s="716" t="s">
        <v>691</v>
      </c>
      <c r="C366" s="718"/>
      <c r="D366" s="206">
        <v>1000</v>
      </c>
      <c r="E366" s="206">
        <v>50</v>
      </c>
      <c r="F366" s="265">
        <v>50000</v>
      </c>
      <c r="G366" s="278"/>
      <c r="H366" s="278"/>
      <c r="I366" s="278"/>
      <c r="J366" s="192"/>
    </row>
    <row r="367" spans="1:10" ht="15.75">
      <c r="A367" s="206">
        <v>2</v>
      </c>
      <c r="B367" s="716" t="s">
        <v>752</v>
      </c>
      <c r="C367" s="767"/>
      <c r="D367" s="206">
        <v>1000</v>
      </c>
      <c r="E367" s="206">
        <v>50</v>
      </c>
      <c r="F367" s="265">
        <v>50000</v>
      </c>
      <c r="G367" s="278"/>
      <c r="H367" s="278"/>
      <c r="I367" s="278"/>
      <c r="J367" s="192"/>
    </row>
    <row r="368" spans="1:10" ht="15.75">
      <c r="A368" s="206">
        <v>3</v>
      </c>
      <c r="B368" s="716" t="s">
        <v>753</v>
      </c>
      <c r="C368" s="767"/>
      <c r="D368" s="206">
        <v>1000</v>
      </c>
      <c r="E368" s="206">
        <v>100</v>
      </c>
      <c r="F368" s="265">
        <v>100000</v>
      </c>
      <c r="G368" s="278"/>
      <c r="H368" s="278"/>
      <c r="I368" s="278"/>
      <c r="J368" s="192"/>
    </row>
    <row r="369" spans="1:10" ht="15.75">
      <c r="A369" s="206">
        <v>4</v>
      </c>
      <c r="B369" s="731" t="s">
        <v>762</v>
      </c>
      <c r="C369" s="768"/>
      <c r="D369" s="410">
        <v>500</v>
      </c>
      <c r="E369" s="410">
        <f>F369/D369</f>
        <v>200</v>
      </c>
      <c r="F369" s="355">
        <v>100000</v>
      </c>
      <c r="G369" s="192"/>
      <c r="H369" s="278"/>
      <c r="I369" s="278"/>
      <c r="J369" s="192"/>
    </row>
    <row r="370" spans="1:10" ht="15.75">
      <c r="A370" s="264">
        <v>5</v>
      </c>
      <c r="B370" s="684" t="s">
        <v>936</v>
      </c>
      <c r="C370" s="685"/>
      <c r="D370" s="206"/>
      <c r="E370" s="206"/>
      <c r="F370" s="374">
        <v>1555471.18</v>
      </c>
      <c r="G370" s="192"/>
      <c r="H370" s="278"/>
      <c r="I370" s="278"/>
      <c r="J370" s="192"/>
    </row>
    <row r="371" spans="1:10" ht="15.75">
      <c r="A371" s="264">
        <v>6</v>
      </c>
      <c r="B371" s="684" t="s">
        <v>937</v>
      </c>
      <c r="C371" s="766"/>
      <c r="D371" s="206"/>
      <c r="E371" s="206"/>
      <c r="F371" s="374">
        <v>117685.77</v>
      </c>
      <c r="G371" s="192"/>
      <c r="H371" s="278"/>
      <c r="I371" s="278"/>
      <c r="J371" s="192"/>
    </row>
    <row r="372" spans="1:10" ht="15.75">
      <c r="A372" s="264">
        <v>7</v>
      </c>
      <c r="B372" s="684" t="s">
        <v>938</v>
      </c>
      <c r="C372" s="766"/>
      <c r="D372" s="206"/>
      <c r="E372" s="206"/>
      <c r="F372" s="374">
        <v>2872908.35</v>
      </c>
      <c r="G372" s="192"/>
      <c r="H372" s="278"/>
      <c r="I372" s="278"/>
      <c r="J372" s="192"/>
    </row>
    <row r="373" spans="1:10" ht="15.75">
      <c r="A373" s="264">
        <v>8</v>
      </c>
      <c r="B373" s="684" t="s">
        <v>848</v>
      </c>
      <c r="C373" s="766"/>
      <c r="D373" s="206"/>
      <c r="E373" s="206"/>
      <c r="F373" s="374">
        <v>100000</v>
      </c>
      <c r="G373" s="192"/>
      <c r="H373" s="278"/>
      <c r="I373" s="278"/>
      <c r="J373" s="192"/>
    </row>
    <row r="374" spans="1:10" ht="15.75">
      <c r="A374" s="264">
        <v>9</v>
      </c>
      <c r="B374" s="684" t="s">
        <v>939</v>
      </c>
      <c r="C374" s="685"/>
      <c r="D374" s="206"/>
      <c r="E374" s="206"/>
      <c r="F374" s="374">
        <v>20000</v>
      </c>
      <c r="G374" s="192"/>
      <c r="H374" s="278"/>
      <c r="I374" s="278"/>
      <c r="J374" s="192"/>
    </row>
    <row r="375" spans="1:10" ht="15.75">
      <c r="A375" s="264">
        <v>10</v>
      </c>
      <c r="B375" s="684" t="s">
        <v>911</v>
      </c>
      <c r="C375" s="685"/>
      <c r="D375" s="206"/>
      <c r="E375" s="206"/>
      <c r="F375" s="374">
        <v>10000</v>
      </c>
      <c r="G375" s="192"/>
      <c r="H375" s="278"/>
      <c r="I375" s="278"/>
      <c r="J375" s="192"/>
    </row>
    <row r="376" spans="1:10" ht="15.75">
      <c r="A376" s="264">
        <v>11</v>
      </c>
      <c r="B376" s="684" t="s">
        <v>940</v>
      </c>
      <c r="C376" s="685"/>
      <c r="D376" s="206"/>
      <c r="E376" s="206"/>
      <c r="F376" s="374">
        <v>45000</v>
      </c>
      <c r="G376" s="192"/>
      <c r="H376" s="278"/>
      <c r="I376" s="278"/>
      <c r="J376" s="192"/>
    </row>
    <row r="377" spans="1:10" ht="15.75">
      <c r="A377" s="264"/>
      <c r="B377" s="549"/>
      <c r="C377" s="547"/>
      <c r="D377" s="410"/>
      <c r="E377" s="410"/>
      <c r="F377" s="355"/>
      <c r="G377" s="192"/>
      <c r="H377" s="278"/>
      <c r="I377" s="278"/>
      <c r="J377" s="192"/>
    </row>
    <row r="378" spans="1:10" ht="15.75">
      <c r="A378" s="264"/>
      <c r="B378" s="549"/>
      <c r="C378" s="547"/>
      <c r="D378" s="410"/>
      <c r="E378" s="410"/>
      <c r="F378" s="355"/>
      <c r="G378" s="192"/>
      <c r="H378" s="278"/>
      <c r="I378" s="278"/>
      <c r="J378" s="192"/>
    </row>
    <row r="379" spans="1:256" s="194" customFormat="1" ht="15.75">
      <c r="A379" s="739" t="s">
        <v>571</v>
      </c>
      <c r="B379" s="740"/>
      <c r="C379" s="741"/>
      <c r="D379" s="315"/>
      <c r="E379" s="315" t="s">
        <v>562</v>
      </c>
      <c r="F379" s="374">
        <f>SUM(F366:F376)</f>
        <v>5021065.3</v>
      </c>
      <c r="G379" s="223"/>
      <c r="H379" s="223"/>
      <c r="I379" s="223"/>
      <c r="J379" s="223"/>
      <c r="IV379" s="403">
        <f>SUM(F379:IU379)</f>
        <v>5021065.3</v>
      </c>
    </row>
    <row r="380" spans="1:256" s="194" customFormat="1" ht="15.75">
      <c r="A380" s="532"/>
      <c r="B380" s="532"/>
      <c r="C380" s="532"/>
      <c r="D380" s="514"/>
      <c r="E380" s="514"/>
      <c r="F380" s="540"/>
      <c r="G380" s="223"/>
      <c r="H380" s="223"/>
      <c r="I380" s="223"/>
      <c r="J380" s="223"/>
      <c r="IV380" s="403"/>
    </row>
    <row r="381" spans="1:4" ht="15.75" hidden="1">
      <c r="A381" s="194"/>
      <c r="B381" s="194" t="s">
        <v>908</v>
      </c>
      <c r="C381" s="194"/>
      <c r="D381" s="194"/>
    </row>
    <row r="382" ht="15.75" hidden="1">
      <c r="B382" s="186"/>
    </row>
    <row r="383" spans="1:10" ht="31.5" hidden="1">
      <c r="A383" s="689" t="s">
        <v>545</v>
      </c>
      <c r="B383" s="689" t="s">
        <v>566</v>
      </c>
      <c r="C383" s="729"/>
      <c r="D383" s="677" t="s">
        <v>651</v>
      </c>
      <c r="E383" s="679" t="s">
        <v>681</v>
      </c>
      <c r="F383" s="227" t="s">
        <v>744</v>
      </c>
      <c r="G383" s="353"/>
      <c r="H383" s="353"/>
      <c r="I383" s="309"/>
      <c r="J383" s="226"/>
    </row>
    <row r="384" spans="1:10" ht="31.5" hidden="1">
      <c r="A384" s="690"/>
      <c r="B384" s="690"/>
      <c r="C384" s="730"/>
      <c r="D384" s="678"/>
      <c r="E384" s="680"/>
      <c r="F384" s="227" t="s">
        <v>745</v>
      </c>
      <c r="G384" s="353"/>
      <c r="H384" s="353"/>
      <c r="I384" s="192"/>
      <c r="J384" s="228"/>
    </row>
    <row r="385" spans="1:10" ht="15.75" hidden="1">
      <c r="A385" s="232">
        <v>1</v>
      </c>
      <c r="B385" s="731">
        <v>2</v>
      </c>
      <c r="C385" s="732"/>
      <c r="D385" s="232">
        <v>3</v>
      </c>
      <c r="E385" s="232">
        <v>4</v>
      </c>
      <c r="F385" s="232">
        <v>5</v>
      </c>
      <c r="G385" s="278"/>
      <c r="H385" s="278"/>
      <c r="I385" s="278"/>
      <c r="J385" s="278"/>
    </row>
    <row r="386" spans="1:10" ht="15.75" hidden="1">
      <c r="A386" s="206">
        <v>1</v>
      </c>
      <c r="B386" s="684" t="s">
        <v>936</v>
      </c>
      <c r="C386" s="685"/>
      <c r="D386" s="206"/>
      <c r="E386" s="206"/>
      <c r="F386" s="265"/>
      <c r="G386" s="278"/>
      <c r="H386" s="278"/>
      <c r="I386" s="278"/>
      <c r="J386" s="192"/>
    </row>
    <row r="387" spans="1:10" ht="15.75" hidden="1">
      <c r="A387" s="206">
        <v>2</v>
      </c>
      <c r="B387" s="684" t="s">
        <v>937</v>
      </c>
      <c r="C387" s="766"/>
      <c r="D387" s="206"/>
      <c r="E387" s="206"/>
      <c r="F387" s="265"/>
      <c r="G387" s="278"/>
      <c r="H387" s="278"/>
      <c r="I387" s="278"/>
      <c r="J387" s="192"/>
    </row>
    <row r="388" spans="1:10" ht="15.75" hidden="1">
      <c r="A388" s="206">
        <v>3</v>
      </c>
      <c r="B388" s="684" t="s">
        <v>938</v>
      </c>
      <c r="C388" s="766"/>
      <c r="D388" s="206"/>
      <c r="E388" s="206"/>
      <c r="F388" s="265"/>
      <c r="G388" s="278"/>
      <c r="H388" s="278"/>
      <c r="I388" s="278"/>
      <c r="J388" s="192"/>
    </row>
    <row r="389" spans="1:10" ht="15.75" hidden="1">
      <c r="A389" s="206">
        <v>4</v>
      </c>
      <c r="B389" s="684" t="s">
        <v>848</v>
      </c>
      <c r="C389" s="766"/>
      <c r="D389" s="206"/>
      <c r="E389" s="206"/>
      <c r="F389" s="265"/>
      <c r="G389" s="278"/>
      <c r="H389" s="278"/>
      <c r="I389" s="278"/>
      <c r="J389" s="192"/>
    </row>
    <row r="390" spans="1:10" ht="15.75" hidden="1">
      <c r="A390" s="206">
        <v>5</v>
      </c>
      <c r="B390" s="684" t="s">
        <v>939</v>
      </c>
      <c r="C390" s="685"/>
      <c r="D390" s="206"/>
      <c r="E390" s="206"/>
      <c r="F390" s="265"/>
      <c r="G390" s="278"/>
      <c r="H390" s="278"/>
      <c r="I390" s="278"/>
      <c r="J390" s="192"/>
    </row>
    <row r="391" spans="1:10" ht="15.75" hidden="1">
      <c r="A391" s="206">
        <v>6</v>
      </c>
      <c r="B391" s="684" t="s">
        <v>911</v>
      </c>
      <c r="C391" s="685"/>
      <c r="D391" s="206"/>
      <c r="E391" s="206"/>
      <c r="F391" s="265"/>
      <c r="G391" s="278"/>
      <c r="H391" s="278"/>
      <c r="I391" s="278"/>
      <c r="J391" s="192"/>
    </row>
    <row r="392" spans="1:10" ht="15.75" hidden="1">
      <c r="A392" s="206">
        <v>6</v>
      </c>
      <c r="B392" s="684" t="s">
        <v>940</v>
      </c>
      <c r="C392" s="685"/>
      <c r="D392" s="206"/>
      <c r="E392" s="206"/>
      <c r="F392" s="265"/>
      <c r="G392" s="192"/>
      <c r="H392" s="278"/>
      <c r="I392" s="278"/>
      <c r="J392" s="192"/>
    </row>
    <row r="393" spans="1:10" ht="15.75" hidden="1">
      <c r="A393" s="684" t="s">
        <v>571</v>
      </c>
      <c r="B393" s="735"/>
      <c r="C393" s="685"/>
      <c r="D393" s="200"/>
      <c r="E393" s="200" t="s">
        <v>562</v>
      </c>
      <c r="F393" s="374">
        <f>SUM(F386:F392)</f>
        <v>0</v>
      </c>
      <c r="G393" s="192"/>
      <c r="H393" s="192"/>
      <c r="I393" s="192"/>
      <c r="J393" s="192"/>
    </row>
    <row r="394" spans="1:256" s="194" customFormat="1" ht="15.75">
      <c r="A394" s="532"/>
      <c r="B394" s="532"/>
      <c r="C394" s="532"/>
      <c r="D394" s="514"/>
      <c r="E394" s="514"/>
      <c r="F394" s="540"/>
      <c r="G394" s="223"/>
      <c r="H394" s="223"/>
      <c r="I394" s="223"/>
      <c r="J394" s="223"/>
      <c r="IV394" s="403"/>
    </row>
    <row r="395" spans="1:256" s="194" customFormat="1" ht="15.75">
      <c r="A395" s="532"/>
      <c r="B395" s="532"/>
      <c r="C395" s="532"/>
      <c r="D395" s="514"/>
      <c r="E395" s="514"/>
      <c r="F395" s="540"/>
      <c r="G395" s="223"/>
      <c r="H395" s="223"/>
      <c r="I395" s="223"/>
      <c r="J395" s="223"/>
      <c r="IV395" s="403"/>
    </row>
    <row r="396" spans="1:11" ht="135" customHeight="1">
      <c r="A396" s="702" t="s">
        <v>692</v>
      </c>
      <c r="B396" s="702"/>
      <c r="C396" s="702"/>
      <c r="D396" s="702"/>
      <c r="E396" s="702"/>
      <c r="F396" s="702"/>
      <c r="G396" s="702"/>
      <c r="H396" s="702"/>
      <c r="I396" s="702"/>
      <c r="J396" s="702"/>
      <c r="K396" s="702"/>
    </row>
    <row r="397" ht="15.75">
      <c r="B397" s="186"/>
    </row>
    <row r="398" spans="1:4" ht="15.75">
      <c r="A398" s="194"/>
      <c r="B398" s="194" t="s">
        <v>693</v>
      </c>
      <c r="C398" s="194"/>
      <c r="D398" s="194"/>
    </row>
    <row r="399" ht="15.75">
      <c r="B399" s="186"/>
    </row>
    <row r="400" spans="1:10" ht="48" customHeight="1">
      <c r="A400" s="689" t="s">
        <v>545</v>
      </c>
      <c r="B400" s="689" t="s">
        <v>566</v>
      </c>
      <c r="C400" s="729"/>
      <c r="D400" s="677" t="s">
        <v>651</v>
      </c>
      <c r="E400" s="679" t="s">
        <v>681</v>
      </c>
      <c r="F400" s="227" t="s">
        <v>744</v>
      </c>
      <c r="G400" s="353"/>
      <c r="H400" s="353"/>
      <c r="I400" s="309"/>
      <c r="J400" s="226"/>
    </row>
    <row r="401" spans="1:10" ht="49.5" customHeight="1">
      <c r="A401" s="690"/>
      <c r="B401" s="690"/>
      <c r="C401" s="730"/>
      <c r="D401" s="678"/>
      <c r="E401" s="680"/>
      <c r="F401" s="227" t="s">
        <v>746</v>
      </c>
      <c r="G401" s="353"/>
      <c r="H401" s="353"/>
      <c r="I401" s="192"/>
      <c r="J401" s="228"/>
    </row>
    <row r="402" spans="1:10" ht="15.75" customHeight="1">
      <c r="A402" s="232">
        <v>1</v>
      </c>
      <c r="B402" s="731">
        <v>2</v>
      </c>
      <c r="C402" s="732"/>
      <c r="D402" s="232">
        <v>3</v>
      </c>
      <c r="E402" s="232">
        <v>4</v>
      </c>
      <c r="F402" s="232">
        <v>5</v>
      </c>
      <c r="G402" s="278"/>
      <c r="H402" s="278"/>
      <c r="I402" s="278"/>
      <c r="J402" s="278"/>
    </row>
    <row r="403" spans="1:10" ht="15.75" customHeight="1">
      <c r="A403" s="232">
        <v>1</v>
      </c>
      <c r="B403" s="233"/>
      <c r="C403" s="310"/>
      <c r="D403" s="232"/>
      <c r="E403" s="232"/>
      <c r="F403" s="355"/>
      <c r="G403" s="278"/>
      <c r="H403" s="278"/>
      <c r="I403" s="278"/>
      <c r="J403" s="278"/>
    </row>
    <row r="404" spans="1:10" ht="15.75">
      <c r="A404" s="206"/>
      <c r="B404" s="716"/>
      <c r="C404" s="718"/>
      <c r="D404" s="206"/>
      <c r="E404" s="206"/>
      <c r="F404" s="355"/>
      <c r="G404" s="278"/>
      <c r="H404" s="278"/>
      <c r="I404" s="278"/>
      <c r="J404" s="192"/>
    </row>
    <row r="405" spans="1:10" ht="15.75">
      <c r="A405" s="206"/>
      <c r="B405" s="716"/>
      <c r="C405" s="718"/>
      <c r="D405" s="206"/>
      <c r="E405" s="206"/>
      <c r="F405" s="355"/>
      <c r="G405" s="192"/>
      <c r="H405" s="278"/>
      <c r="I405" s="278"/>
      <c r="J405" s="192"/>
    </row>
    <row r="406" spans="1:10" s="194" customFormat="1" ht="15.75">
      <c r="A406" s="739" t="s">
        <v>571</v>
      </c>
      <c r="B406" s="740"/>
      <c r="C406" s="741"/>
      <c r="D406" s="315"/>
      <c r="E406" s="315" t="s">
        <v>562</v>
      </c>
      <c r="F406" s="374">
        <f>SUM(F403:F405)</f>
        <v>0</v>
      </c>
      <c r="G406" s="223"/>
      <c r="H406" s="223"/>
      <c r="I406" s="223"/>
      <c r="J406" s="223"/>
    </row>
    <row r="409" spans="1:4" ht="18.75">
      <c r="A409" s="316" t="s">
        <v>694</v>
      </c>
      <c r="B409" s="316"/>
      <c r="C409" s="316"/>
      <c r="D409" s="317"/>
    </row>
    <row r="410" spans="1:4" ht="15.75">
      <c r="A410" s="319"/>
      <c r="B410" s="320"/>
      <c r="C410" s="320"/>
      <c r="D410" s="321"/>
    </row>
    <row r="411" spans="1:4" ht="31.5">
      <c r="A411" s="322" t="s">
        <v>545</v>
      </c>
      <c r="B411" s="749" t="s">
        <v>695</v>
      </c>
      <c r="C411" s="749"/>
      <c r="D411" s="323" t="s">
        <v>696</v>
      </c>
    </row>
    <row r="412" spans="1:4" ht="15.75">
      <c r="A412" s="325">
        <v>1</v>
      </c>
      <c r="B412" s="744" t="s">
        <v>718</v>
      </c>
      <c r="C412" s="744"/>
      <c r="D412" s="380">
        <f>J26+F55+F64+F94+G128+G150+E179+E194+F211+E222+F234+E255+E280+D319+F348+F379+F406+E282+F393+F359+D331+E294+F244+G164+F112+J45</f>
        <v>18701125.242</v>
      </c>
    </row>
    <row r="415" spans="1:5" ht="15.75">
      <c r="A415" s="186" t="s">
        <v>699</v>
      </c>
      <c r="C415" s="186" t="s">
        <v>700</v>
      </c>
      <c r="E415" s="186" t="s">
        <v>701</v>
      </c>
    </row>
    <row r="417" spans="1:3" ht="15.75">
      <c r="A417" s="186" t="s">
        <v>13</v>
      </c>
      <c r="C417" s="186" t="s">
        <v>700</v>
      </c>
    </row>
  </sheetData>
  <sheetProtection/>
  <mergeCells count="258">
    <mergeCell ref="B147:C147"/>
    <mergeCell ref="B148:C148"/>
    <mergeCell ref="B374:C374"/>
    <mergeCell ref="B375:C375"/>
    <mergeCell ref="B376:C376"/>
    <mergeCell ref="B342:C342"/>
    <mergeCell ref="B343:C343"/>
    <mergeCell ref="B344:C344"/>
    <mergeCell ref="B345:C345"/>
    <mergeCell ref="B365:C365"/>
    <mergeCell ref="B402:C402"/>
    <mergeCell ref="B404:C404"/>
    <mergeCell ref="B405:C405"/>
    <mergeCell ref="A406:C406"/>
    <mergeCell ref="B411:C411"/>
    <mergeCell ref="B412:C412"/>
    <mergeCell ref="A393:C393"/>
    <mergeCell ref="A396:K396"/>
    <mergeCell ref="A400:A401"/>
    <mergeCell ref="B400:C401"/>
    <mergeCell ref="D400:D401"/>
    <mergeCell ref="E400:E401"/>
    <mergeCell ref="B387:C387"/>
    <mergeCell ref="B388:C388"/>
    <mergeCell ref="B389:C389"/>
    <mergeCell ref="B390:C390"/>
    <mergeCell ref="B391:C391"/>
    <mergeCell ref="B392:C392"/>
    <mergeCell ref="A383:A384"/>
    <mergeCell ref="B383:C384"/>
    <mergeCell ref="D383:D384"/>
    <mergeCell ref="E383:E384"/>
    <mergeCell ref="B385:C385"/>
    <mergeCell ref="B386:C386"/>
    <mergeCell ref="B366:C366"/>
    <mergeCell ref="B367:C367"/>
    <mergeCell ref="B368:C368"/>
    <mergeCell ref="B369:C369"/>
    <mergeCell ref="A379:C379"/>
    <mergeCell ref="B370:C370"/>
    <mergeCell ref="B371:C371"/>
    <mergeCell ref="B372:C372"/>
    <mergeCell ref="B373:C373"/>
    <mergeCell ref="B358:C358"/>
    <mergeCell ref="A359:C359"/>
    <mergeCell ref="A363:A364"/>
    <mergeCell ref="B363:C364"/>
    <mergeCell ref="D363:D364"/>
    <mergeCell ref="E363:E364"/>
    <mergeCell ref="D352:D353"/>
    <mergeCell ref="E352:E353"/>
    <mergeCell ref="B354:C354"/>
    <mergeCell ref="B355:C355"/>
    <mergeCell ref="B356:C356"/>
    <mergeCell ref="B357:C357"/>
    <mergeCell ref="B339:C339"/>
    <mergeCell ref="B340:C340"/>
    <mergeCell ref="B341:C341"/>
    <mergeCell ref="B347:C347"/>
    <mergeCell ref="A348:C348"/>
    <mergeCell ref="A352:A353"/>
    <mergeCell ref="B352:C353"/>
    <mergeCell ref="A323:A324"/>
    <mergeCell ref="B323:B324"/>
    <mergeCell ref="C323:C324"/>
    <mergeCell ref="A331:B331"/>
    <mergeCell ref="A333:K333"/>
    <mergeCell ref="A337:A338"/>
    <mergeCell ref="B337:C338"/>
    <mergeCell ref="D337:D338"/>
    <mergeCell ref="E337:E338"/>
    <mergeCell ref="A294:B294"/>
    <mergeCell ref="A297:K297"/>
    <mergeCell ref="A301:A302"/>
    <mergeCell ref="B301:B302"/>
    <mergeCell ref="C301:C302"/>
    <mergeCell ref="A319:B319"/>
    <mergeCell ref="A280:B280"/>
    <mergeCell ref="A282:B282"/>
    <mergeCell ref="A286:A287"/>
    <mergeCell ref="B286:B287"/>
    <mergeCell ref="C286:C287"/>
    <mergeCell ref="D286:D287"/>
    <mergeCell ref="A255:B255"/>
    <mergeCell ref="A256:K256"/>
    <mergeCell ref="A260:A261"/>
    <mergeCell ref="B260:B261"/>
    <mergeCell ref="C260:C261"/>
    <mergeCell ref="D260:D261"/>
    <mergeCell ref="A244:B244"/>
    <mergeCell ref="A246:K246"/>
    <mergeCell ref="A250:A251"/>
    <mergeCell ref="B250:B251"/>
    <mergeCell ref="C250:C251"/>
    <mergeCell ref="D250:D251"/>
    <mergeCell ref="A234:B234"/>
    <mergeCell ref="A238:A239"/>
    <mergeCell ref="B238:B239"/>
    <mergeCell ref="C238:C239"/>
    <mergeCell ref="D238:D239"/>
    <mergeCell ref="E238:E239"/>
    <mergeCell ref="A222:B222"/>
    <mergeCell ref="A224:K224"/>
    <mergeCell ref="A228:A229"/>
    <mergeCell ref="B228:B229"/>
    <mergeCell ref="C228:C229"/>
    <mergeCell ref="D228:D229"/>
    <mergeCell ref="E228:E229"/>
    <mergeCell ref="A211:B211"/>
    <mergeCell ref="A213:K213"/>
    <mergeCell ref="A217:A218"/>
    <mergeCell ref="B217:B218"/>
    <mergeCell ref="C217:C218"/>
    <mergeCell ref="D217:D218"/>
    <mergeCell ref="A194:B194"/>
    <mergeCell ref="A196:K196"/>
    <mergeCell ref="A198:K198"/>
    <mergeCell ref="A206:A207"/>
    <mergeCell ref="B206:B207"/>
    <mergeCell ref="C206:C207"/>
    <mergeCell ref="D206:D207"/>
    <mergeCell ref="E206:E207"/>
    <mergeCell ref="A179:B179"/>
    <mergeCell ref="A181:K181"/>
    <mergeCell ref="A183:K183"/>
    <mergeCell ref="A189:A190"/>
    <mergeCell ref="B189:B190"/>
    <mergeCell ref="C189:C190"/>
    <mergeCell ref="D189:D190"/>
    <mergeCell ref="A168:K168"/>
    <mergeCell ref="A169:E169"/>
    <mergeCell ref="A174:A175"/>
    <mergeCell ref="B174:B175"/>
    <mergeCell ref="C174:C175"/>
    <mergeCell ref="D174:D175"/>
    <mergeCell ref="B160:C160"/>
    <mergeCell ref="B161:C161"/>
    <mergeCell ref="B162:C162"/>
    <mergeCell ref="B163:C163"/>
    <mergeCell ref="A164:C164"/>
    <mergeCell ref="A166:K166"/>
    <mergeCell ref="A150:C150"/>
    <mergeCell ref="A152:K152"/>
    <mergeCell ref="A158:A159"/>
    <mergeCell ref="B158:C159"/>
    <mergeCell ref="D158:D159"/>
    <mergeCell ref="E158:E159"/>
    <mergeCell ref="F158:G158"/>
    <mergeCell ref="B141:C141"/>
    <mergeCell ref="B142:C142"/>
    <mergeCell ref="B143:C143"/>
    <mergeCell ref="B144:C144"/>
    <mergeCell ref="B145:C145"/>
    <mergeCell ref="B146:C146"/>
    <mergeCell ref="A138:A139"/>
    <mergeCell ref="B138:C139"/>
    <mergeCell ref="D138:D139"/>
    <mergeCell ref="E138:E139"/>
    <mergeCell ref="F138:G138"/>
    <mergeCell ref="B140:C140"/>
    <mergeCell ref="B125:D125"/>
    <mergeCell ref="B126:D126"/>
    <mergeCell ref="B127:D127"/>
    <mergeCell ref="A128:D128"/>
    <mergeCell ref="A130:K130"/>
    <mergeCell ref="A132:K132"/>
    <mergeCell ref="B116:F116"/>
    <mergeCell ref="A117:K117"/>
    <mergeCell ref="A123:A124"/>
    <mergeCell ref="B123:D124"/>
    <mergeCell ref="E123:E124"/>
    <mergeCell ref="F123:F124"/>
    <mergeCell ref="B108:D108"/>
    <mergeCell ref="B109:D109"/>
    <mergeCell ref="B110:D110"/>
    <mergeCell ref="B111:D111"/>
    <mergeCell ref="A112:D112"/>
    <mergeCell ref="A115:K115"/>
    <mergeCell ref="B102:D102"/>
    <mergeCell ref="B103:D103"/>
    <mergeCell ref="B104:D104"/>
    <mergeCell ref="B105:D105"/>
    <mergeCell ref="B106:D106"/>
    <mergeCell ref="B107:D107"/>
    <mergeCell ref="B96:I96"/>
    <mergeCell ref="A98:A99"/>
    <mergeCell ref="B98:D99"/>
    <mergeCell ref="E98:E99"/>
    <mergeCell ref="B100:D100"/>
    <mergeCell ref="B101:D101"/>
    <mergeCell ref="B77:D77"/>
    <mergeCell ref="B78:D78"/>
    <mergeCell ref="B79:D79"/>
    <mergeCell ref="B80:D80"/>
    <mergeCell ref="B81:D81"/>
    <mergeCell ref="A94:D94"/>
    <mergeCell ref="B82:D82"/>
    <mergeCell ref="B83:D83"/>
    <mergeCell ref="B84:D84"/>
    <mergeCell ref="B85:D85"/>
    <mergeCell ref="B71:D71"/>
    <mergeCell ref="B72:D72"/>
    <mergeCell ref="B73:D73"/>
    <mergeCell ref="B74:D74"/>
    <mergeCell ref="B75:D75"/>
    <mergeCell ref="B76:D76"/>
    <mergeCell ref="A64:B64"/>
    <mergeCell ref="B66:I66"/>
    <mergeCell ref="A68:A69"/>
    <mergeCell ref="B68:D69"/>
    <mergeCell ref="E68:E69"/>
    <mergeCell ref="B70:D70"/>
    <mergeCell ref="A55:B55"/>
    <mergeCell ref="B57:F57"/>
    <mergeCell ref="A59:A60"/>
    <mergeCell ref="B59:B60"/>
    <mergeCell ref="C59:C60"/>
    <mergeCell ref="D59:D60"/>
    <mergeCell ref="E59:E60"/>
    <mergeCell ref="B48:I48"/>
    <mergeCell ref="A50:A51"/>
    <mergeCell ref="B50:B51"/>
    <mergeCell ref="C50:C51"/>
    <mergeCell ref="D50:D51"/>
    <mergeCell ref="E50:E51"/>
    <mergeCell ref="J36:J38"/>
    <mergeCell ref="K36:K38"/>
    <mergeCell ref="E37:G37"/>
    <mergeCell ref="A45:B45"/>
    <mergeCell ref="A46:K46"/>
    <mergeCell ref="B47:K47"/>
    <mergeCell ref="J12:J14"/>
    <mergeCell ref="K12:K14"/>
    <mergeCell ref="E13:G13"/>
    <mergeCell ref="A28:K28"/>
    <mergeCell ref="A36:A38"/>
    <mergeCell ref="B36:B38"/>
    <mergeCell ref="C36:C38"/>
    <mergeCell ref="D36:G36"/>
    <mergeCell ref="H36:H38"/>
    <mergeCell ref="I36:I38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92:D92"/>
    <mergeCell ref="B86:D86"/>
    <mergeCell ref="B87:D87"/>
    <mergeCell ref="B88:D88"/>
    <mergeCell ref="B89:D89"/>
    <mergeCell ref="B90:D90"/>
    <mergeCell ref="B91:D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10" manualBreakCount="10">
    <brk id="45" max="10" man="1"/>
    <brk id="65" max="10" man="1"/>
    <brk id="115" max="10" man="1"/>
    <brk id="167" max="255" man="1"/>
    <brk id="197" max="255" man="1"/>
    <brk id="225" max="255" man="1"/>
    <brk id="247" max="10" man="1"/>
    <brk id="296" max="10" man="1"/>
    <brk id="320" max="10" man="1"/>
    <brk id="3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1"/>
  <sheetViews>
    <sheetView view="pageBreakPreview" zoomScale="85" zoomScaleNormal="70" zoomScaleSheetLayoutView="85" zoomScalePageLayoutView="0" workbookViewId="0" topLeftCell="A110">
      <selection activeCell="E20" sqref="E20"/>
    </sheetView>
  </sheetViews>
  <sheetFormatPr defaultColWidth="9.140625" defaultRowHeight="15"/>
  <cols>
    <col min="1" max="1" width="15.8515625" style="0" customWidth="1"/>
    <col min="2" max="2" width="31.57421875" style="0" bestFit="1" customWidth="1"/>
    <col min="3" max="3" width="22.140625" style="0" bestFit="1" customWidth="1"/>
    <col min="4" max="4" width="20.7109375" style="0" bestFit="1" customWidth="1"/>
    <col min="5" max="5" width="21.8515625" style="0" customWidth="1"/>
    <col min="7" max="7" width="12.421875" style="0" bestFit="1" customWidth="1"/>
    <col min="8" max="8" width="10.7109375" style="0" bestFit="1" customWidth="1"/>
  </cols>
  <sheetData>
    <row r="1" spans="1:5" ht="18.75">
      <c r="A1" s="770" t="s">
        <v>769</v>
      </c>
      <c r="B1" s="770"/>
      <c r="C1" s="770"/>
      <c r="D1" s="770"/>
      <c r="E1" s="770"/>
    </row>
    <row r="2" spans="1:5" ht="18.75">
      <c r="A2" s="771" t="s">
        <v>958</v>
      </c>
      <c r="B2" s="771"/>
      <c r="C2" s="771"/>
      <c r="D2" s="771"/>
      <c r="E2" s="771"/>
    </row>
    <row r="3" spans="1:5" ht="18.75">
      <c r="A3" s="411"/>
      <c r="B3" s="411"/>
      <c r="C3" s="411"/>
      <c r="D3" s="411"/>
      <c r="E3" s="412"/>
    </row>
    <row r="4" spans="1:5" ht="36.75" customHeight="1">
      <c r="A4" s="772" t="s">
        <v>786</v>
      </c>
      <c r="B4" s="772"/>
      <c r="C4" s="772"/>
      <c r="D4" s="772"/>
      <c r="E4" s="772"/>
    </row>
    <row r="5" spans="1:5" ht="16.5">
      <c r="A5" s="413"/>
      <c r="B5" s="413"/>
      <c r="C5" s="413"/>
      <c r="D5" s="413"/>
      <c r="E5" s="414"/>
    </row>
    <row r="6" spans="1:5" ht="16.5">
      <c r="A6" s="413"/>
      <c r="B6" s="413"/>
      <c r="C6" s="413"/>
      <c r="D6" s="413"/>
      <c r="E6" s="414"/>
    </row>
    <row r="7" spans="1:5" ht="18.75">
      <c r="A7" s="773" t="s">
        <v>770</v>
      </c>
      <c r="B7" s="773"/>
      <c r="C7" s="773"/>
      <c r="D7" s="773"/>
      <c r="E7" s="773"/>
    </row>
    <row r="8" spans="1:5" ht="16.5">
      <c r="A8" s="413"/>
      <c r="B8" s="413"/>
      <c r="C8" s="413"/>
      <c r="D8" s="413"/>
      <c r="E8" s="414"/>
    </row>
    <row r="9" spans="1:5" ht="31.5">
      <c r="A9" s="416" t="s">
        <v>164</v>
      </c>
      <c r="B9" s="417" t="s">
        <v>950</v>
      </c>
      <c r="C9" s="417" t="s">
        <v>957</v>
      </c>
      <c r="D9" s="417" t="s">
        <v>771</v>
      </c>
      <c r="E9" s="417" t="s">
        <v>772</v>
      </c>
    </row>
    <row r="10" spans="1:5" ht="15.75">
      <c r="A10" s="418">
        <v>121</v>
      </c>
      <c r="B10" s="419">
        <f>673583.04+62500</f>
        <v>736083.04</v>
      </c>
      <c r="C10" s="419">
        <f>673583.04+62500</f>
        <v>736083.04</v>
      </c>
      <c r="D10" s="419">
        <f aca="true" t="shared" si="0" ref="D10:D23">C10-B10</f>
        <v>0</v>
      </c>
      <c r="E10" s="420"/>
    </row>
    <row r="11" spans="1:5" ht="15.75">
      <c r="A11" s="418">
        <v>124</v>
      </c>
      <c r="B11" s="419">
        <v>50000</v>
      </c>
      <c r="C11" s="419">
        <v>50000</v>
      </c>
      <c r="D11" s="419">
        <f t="shared" si="0"/>
        <v>0</v>
      </c>
      <c r="E11" s="420"/>
    </row>
    <row r="12" spans="1:5" ht="15.75">
      <c r="A12" s="418">
        <v>131</v>
      </c>
      <c r="B12" s="419">
        <f>12394000+50000+10000+62140-11106+50000</f>
        <v>12555034</v>
      </c>
      <c r="C12" s="419">
        <f>12394000+50000+10000+62140-11106+50000</f>
        <v>12555034</v>
      </c>
      <c r="D12" s="419">
        <f t="shared" si="0"/>
        <v>0</v>
      </c>
      <c r="E12" s="420"/>
    </row>
    <row r="13" spans="1:5" ht="15.75">
      <c r="A13" s="418">
        <v>135</v>
      </c>
      <c r="B13" s="419">
        <f>357000+7000</f>
        <v>364000</v>
      </c>
      <c r="C13" s="419">
        <f>357000+7000</f>
        <v>364000</v>
      </c>
      <c r="D13" s="419">
        <f t="shared" si="0"/>
        <v>0</v>
      </c>
      <c r="E13" s="420"/>
    </row>
    <row r="14" spans="1:5" ht="15.75">
      <c r="A14" s="421">
        <v>155</v>
      </c>
      <c r="B14" s="419"/>
      <c r="C14" s="419"/>
      <c r="D14" s="419">
        <f t="shared" si="0"/>
        <v>0</v>
      </c>
      <c r="E14" s="420"/>
    </row>
    <row r="15" spans="1:5" ht="15.75">
      <c r="A15" s="418">
        <v>189</v>
      </c>
      <c r="B15" s="419">
        <f>-112140-111394</f>
        <v>-223534</v>
      </c>
      <c r="C15" s="419">
        <f>-112140-111394</f>
        <v>-223534</v>
      </c>
      <c r="D15" s="419">
        <f t="shared" si="0"/>
        <v>0</v>
      </c>
      <c r="E15" s="420"/>
    </row>
    <row r="16" spans="1:5" ht="31.5">
      <c r="A16" s="422" t="s">
        <v>773</v>
      </c>
      <c r="B16" s="423">
        <f>SUM(B10:B15)</f>
        <v>13481583.04</v>
      </c>
      <c r="C16" s="423">
        <f>SUM(C10:C15)</f>
        <v>13481583.04</v>
      </c>
      <c r="D16" s="419">
        <f t="shared" si="0"/>
        <v>0</v>
      </c>
      <c r="E16" s="420"/>
    </row>
    <row r="17" spans="1:5" ht="15.75">
      <c r="A17" s="422">
        <v>111</v>
      </c>
      <c r="B17" s="424">
        <f>B18+B19</f>
        <v>5724164.65</v>
      </c>
      <c r="C17" s="424">
        <f>C18+C19</f>
        <v>5724164.65</v>
      </c>
      <c r="D17" s="419">
        <f aca="true" t="shared" si="1" ref="D17:D22">C17-B17</f>
        <v>0</v>
      </c>
      <c r="E17" s="420"/>
    </row>
    <row r="18" spans="1:5" ht="15.75">
      <c r="A18" s="422" t="s">
        <v>789</v>
      </c>
      <c r="B18" s="424">
        <v>5716164.65</v>
      </c>
      <c r="C18" s="424">
        <v>5716164.65</v>
      </c>
      <c r="D18" s="419">
        <f t="shared" si="1"/>
        <v>0</v>
      </c>
      <c r="E18" s="420"/>
    </row>
    <row r="19" spans="1:5" ht="15.75">
      <c r="A19" s="422" t="s">
        <v>790</v>
      </c>
      <c r="B19" s="424">
        <v>8000</v>
      </c>
      <c r="C19" s="424">
        <v>8000</v>
      </c>
      <c r="D19" s="419">
        <f t="shared" si="1"/>
        <v>0</v>
      </c>
      <c r="E19" s="420"/>
    </row>
    <row r="20" spans="1:5" ht="15.75">
      <c r="A20" s="422">
        <v>112</v>
      </c>
      <c r="B20" s="424"/>
      <c r="C20" s="424"/>
      <c r="D20" s="419">
        <f t="shared" si="1"/>
        <v>0</v>
      </c>
      <c r="E20" s="420"/>
    </row>
    <row r="21" spans="1:5" ht="15.75">
      <c r="A21" s="417">
        <v>212</v>
      </c>
      <c r="B21" s="425"/>
      <c r="C21" s="425"/>
      <c r="D21" s="419">
        <f t="shared" si="1"/>
        <v>0</v>
      </c>
      <c r="E21" s="420"/>
    </row>
    <row r="22" spans="1:5" ht="15.75">
      <c r="A22" s="417">
        <v>226</v>
      </c>
      <c r="B22" s="425"/>
      <c r="C22" s="425"/>
      <c r="D22" s="419">
        <f t="shared" si="1"/>
        <v>0</v>
      </c>
      <c r="E22" s="420"/>
    </row>
    <row r="23" spans="1:5" ht="15.75">
      <c r="A23" s="422">
        <v>119</v>
      </c>
      <c r="B23" s="424">
        <v>1728697.65</v>
      </c>
      <c r="C23" s="424">
        <v>1728697.65</v>
      </c>
      <c r="D23" s="419">
        <f t="shared" si="0"/>
        <v>0</v>
      </c>
      <c r="E23" s="420"/>
    </row>
    <row r="24" spans="1:5" ht="15.75">
      <c r="A24" s="422">
        <v>244</v>
      </c>
      <c r="B24" s="426">
        <f>SUM(B25:B38)</f>
        <v>10786516.940000001</v>
      </c>
      <c r="C24" s="426">
        <f>SUM(C25:C38)</f>
        <v>10786516.940000001</v>
      </c>
      <c r="D24" s="419">
        <f>C24-B24</f>
        <v>0</v>
      </c>
      <c r="E24" s="420"/>
    </row>
    <row r="25" spans="1:5" ht="15.75">
      <c r="A25" s="417">
        <v>221</v>
      </c>
      <c r="B25" s="426">
        <v>3500</v>
      </c>
      <c r="C25" s="426">
        <v>3500</v>
      </c>
      <c r="D25" s="419">
        <f aca="true" t="shared" si="2" ref="D25:D45">C25-B25</f>
        <v>0</v>
      </c>
      <c r="E25" s="420"/>
    </row>
    <row r="26" spans="1:5" ht="15.75">
      <c r="A26" s="417">
        <v>222</v>
      </c>
      <c r="B26" s="426">
        <v>11000</v>
      </c>
      <c r="C26" s="426">
        <v>11000</v>
      </c>
      <c r="D26" s="419">
        <f t="shared" si="2"/>
        <v>0</v>
      </c>
      <c r="E26" s="420"/>
    </row>
    <row r="27" spans="1:5" ht="15.75">
      <c r="A27" s="417">
        <v>223</v>
      </c>
      <c r="B27" s="426">
        <v>404947.39</v>
      </c>
      <c r="C27" s="426">
        <v>404947.39</v>
      </c>
      <c r="D27" s="419">
        <f t="shared" si="2"/>
        <v>0</v>
      </c>
      <c r="E27" s="420"/>
    </row>
    <row r="28" spans="1:5" ht="15.75">
      <c r="A28" s="417">
        <v>225</v>
      </c>
      <c r="B28" s="426">
        <f>2092627.16+467852.4</f>
        <v>2560479.56</v>
      </c>
      <c r="C28" s="426">
        <f>2092627.16+467852.4</f>
        <v>2560479.56</v>
      </c>
      <c r="D28" s="419">
        <f t="shared" si="2"/>
        <v>0</v>
      </c>
      <c r="E28" s="420"/>
    </row>
    <row r="29" spans="1:5" ht="15.75">
      <c r="A29" s="417">
        <v>226</v>
      </c>
      <c r="B29" s="426">
        <f>1518276.69+193000</f>
        <v>1711276.69</v>
      </c>
      <c r="C29" s="426">
        <f>1518276.69+193000</f>
        <v>1711276.69</v>
      </c>
      <c r="D29" s="419">
        <f t="shared" si="2"/>
        <v>0</v>
      </c>
      <c r="E29" s="420"/>
    </row>
    <row r="30" spans="1:5" ht="15.75">
      <c r="A30" s="417">
        <v>228</v>
      </c>
      <c r="B30" s="426">
        <v>500000</v>
      </c>
      <c r="C30" s="426">
        <v>500000</v>
      </c>
      <c r="D30" s="419">
        <f t="shared" si="2"/>
        <v>0</v>
      </c>
      <c r="E30" s="427"/>
    </row>
    <row r="31" spans="1:5" ht="15.75">
      <c r="A31" s="417">
        <v>310</v>
      </c>
      <c r="B31" s="426">
        <f>304248+270000</f>
        <v>574248</v>
      </c>
      <c r="C31" s="426">
        <f>304248+270000</f>
        <v>574248</v>
      </c>
      <c r="D31" s="419">
        <f t="shared" si="2"/>
        <v>0</v>
      </c>
      <c r="E31" s="420"/>
    </row>
    <row r="32" spans="1:5" ht="15.75">
      <c r="A32" s="417">
        <v>341</v>
      </c>
      <c r="B32" s="426">
        <v>50000</v>
      </c>
      <c r="C32" s="426">
        <v>50000</v>
      </c>
      <c r="D32" s="419">
        <f t="shared" si="2"/>
        <v>0</v>
      </c>
      <c r="E32" s="420"/>
    </row>
    <row r="33" spans="1:5" ht="15.75">
      <c r="A33" s="417">
        <v>342</v>
      </c>
      <c r="B33" s="426">
        <v>4546065.3</v>
      </c>
      <c r="C33" s="426">
        <v>4546065.3</v>
      </c>
      <c r="D33" s="419">
        <f t="shared" si="2"/>
        <v>0</v>
      </c>
      <c r="E33" s="420"/>
    </row>
    <row r="34" spans="1:5" ht="15.75">
      <c r="A34" s="417">
        <v>344</v>
      </c>
      <c r="B34" s="426">
        <v>50000</v>
      </c>
      <c r="C34" s="426">
        <v>50000</v>
      </c>
      <c r="D34" s="419">
        <f t="shared" si="2"/>
        <v>0</v>
      </c>
      <c r="E34" s="427"/>
    </row>
    <row r="35" spans="1:5" ht="15.75">
      <c r="A35" s="417">
        <v>345</v>
      </c>
      <c r="B35" s="426">
        <v>100000</v>
      </c>
      <c r="C35" s="426">
        <v>100000</v>
      </c>
      <c r="D35" s="419">
        <f t="shared" si="2"/>
        <v>0</v>
      </c>
      <c r="E35" s="420"/>
    </row>
    <row r="36" spans="1:5" ht="15.75">
      <c r="A36" s="417">
        <v>346</v>
      </c>
      <c r="B36" s="426">
        <v>175000</v>
      </c>
      <c r="C36" s="426">
        <v>175000</v>
      </c>
      <c r="D36" s="419">
        <f t="shared" si="2"/>
        <v>0</v>
      </c>
      <c r="E36" s="420"/>
    </row>
    <row r="37" spans="1:5" ht="15.75">
      <c r="A37" s="417">
        <v>349</v>
      </c>
      <c r="B37" s="419">
        <v>100000</v>
      </c>
      <c r="C37" s="419">
        <v>100000</v>
      </c>
      <c r="D37" s="419">
        <f t="shared" si="2"/>
        <v>0</v>
      </c>
      <c r="E37" s="420"/>
    </row>
    <row r="38" spans="1:5" ht="42" customHeight="1" hidden="1">
      <c r="A38" s="417">
        <v>297</v>
      </c>
      <c r="B38" s="426"/>
      <c r="C38" s="426"/>
      <c r="D38" s="419">
        <f t="shared" si="2"/>
        <v>0</v>
      </c>
      <c r="E38" s="420"/>
    </row>
    <row r="39" spans="1:5" ht="40.5" customHeight="1" hidden="1">
      <c r="A39" s="422" t="s">
        <v>791</v>
      </c>
      <c r="B39" s="426"/>
      <c r="C39" s="426"/>
      <c r="D39" s="419">
        <f t="shared" si="2"/>
        <v>0</v>
      </c>
      <c r="E39" s="420"/>
    </row>
    <row r="40" spans="1:5" ht="30.75" customHeight="1" hidden="1">
      <c r="A40" s="422"/>
      <c r="B40" s="426"/>
      <c r="C40" s="426"/>
      <c r="D40" s="419">
        <f t="shared" si="2"/>
        <v>0</v>
      </c>
      <c r="E40" s="420"/>
    </row>
    <row r="41" spans="1:5" ht="15.75">
      <c r="A41" s="422" t="s">
        <v>775</v>
      </c>
      <c r="B41" s="426">
        <f>292718+107028</f>
        <v>399746</v>
      </c>
      <c r="C41" s="426">
        <f>292718+107028</f>
        <v>399746</v>
      </c>
      <c r="D41" s="419">
        <f t="shared" si="2"/>
        <v>0</v>
      </c>
      <c r="E41" s="420"/>
    </row>
    <row r="42" spans="1:5" ht="37.5" customHeight="1">
      <c r="A42" s="422" t="s">
        <v>776</v>
      </c>
      <c r="B42" s="426"/>
      <c r="C42" s="426"/>
      <c r="D42" s="419">
        <f t="shared" si="2"/>
        <v>0</v>
      </c>
      <c r="E42" s="427"/>
    </row>
    <row r="43" spans="1:5" ht="15.75">
      <c r="A43" s="422" t="s">
        <v>792</v>
      </c>
      <c r="B43" s="426">
        <v>3000</v>
      </c>
      <c r="C43" s="426">
        <v>3000</v>
      </c>
      <c r="D43" s="419">
        <f t="shared" si="2"/>
        <v>0</v>
      </c>
      <c r="E43" s="427"/>
    </row>
    <row r="44" spans="1:5" ht="15.75">
      <c r="A44" s="422" t="s">
        <v>850</v>
      </c>
      <c r="B44" s="426">
        <v>30000</v>
      </c>
      <c r="C44" s="426">
        <v>30000</v>
      </c>
      <c r="D44" s="419">
        <f t="shared" si="2"/>
        <v>0</v>
      </c>
      <c r="E44" s="420"/>
    </row>
    <row r="45" spans="1:5" ht="15.75">
      <c r="A45" s="422" t="s">
        <v>777</v>
      </c>
      <c r="B45" s="426">
        <v>29000</v>
      </c>
      <c r="C45" s="426">
        <v>29000</v>
      </c>
      <c r="D45" s="419">
        <f t="shared" si="2"/>
        <v>0</v>
      </c>
      <c r="E45" s="420"/>
    </row>
    <row r="46" spans="1:5" ht="31.5">
      <c r="A46" s="422" t="s">
        <v>778</v>
      </c>
      <c r="B46" s="428">
        <f>B41+B23+B24+B17+B45+B42+B20+B43+B44</f>
        <v>18701125.240000002</v>
      </c>
      <c r="C46" s="428">
        <f>C41+C23+C24+C17+C45+C42+C20+C43+C44</f>
        <v>18701125.240000002</v>
      </c>
      <c r="D46" s="419">
        <f>C46-B46</f>
        <v>0</v>
      </c>
      <c r="E46" s="420"/>
    </row>
    <row r="47" spans="1:5" ht="16.5">
      <c r="A47" s="429"/>
      <c r="B47" s="430"/>
      <c r="C47" s="430"/>
      <c r="D47" s="430"/>
      <c r="E47" s="431"/>
    </row>
    <row r="48" spans="1:5" ht="18.75">
      <c r="A48" s="773" t="s">
        <v>779</v>
      </c>
      <c r="B48" s="773"/>
      <c r="C48" s="773"/>
      <c r="D48" s="773"/>
      <c r="E48" s="773"/>
    </row>
    <row r="49" spans="1:5" ht="16.5">
      <c r="A49" s="413"/>
      <c r="B49" s="413"/>
      <c r="C49" s="413"/>
      <c r="D49" s="413"/>
      <c r="E49" s="414"/>
    </row>
    <row r="50" spans="1:5" ht="31.5">
      <c r="A50" s="416" t="s">
        <v>164</v>
      </c>
      <c r="B50" s="417" t="s">
        <v>950</v>
      </c>
      <c r="C50" s="417" t="s">
        <v>957</v>
      </c>
      <c r="D50" s="417" t="s">
        <v>771</v>
      </c>
      <c r="E50" s="417" t="s">
        <v>772</v>
      </c>
    </row>
    <row r="51" spans="1:5" ht="15.75">
      <c r="A51" s="418">
        <v>131</v>
      </c>
      <c r="B51" s="432">
        <v>46600575.79</v>
      </c>
      <c r="C51" s="432">
        <v>46600575.79</v>
      </c>
      <c r="D51" s="433">
        <f aca="true" t="shared" si="3" ref="D51:D81">C51-B51</f>
        <v>0</v>
      </c>
      <c r="E51" s="427"/>
    </row>
    <row r="52" spans="1:5" ht="31.5">
      <c r="A52" s="422" t="s">
        <v>773</v>
      </c>
      <c r="B52" s="423">
        <f>B51</f>
        <v>46600575.79</v>
      </c>
      <c r="C52" s="423">
        <f>C51</f>
        <v>46600575.79</v>
      </c>
      <c r="D52" s="433">
        <f t="shared" si="3"/>
        <v>0</v>
      </c>
      <c r="E52" s="427"/>
    </row>
    <row r="53" spans="1:5" ht="15.75">
      <c r="A53" s="422">
        <v>111</v>
      </c>
      <c r="B53" s="419">
        <f>B54+B55</f>
        <v>28546867.53</v>
      </c>
      <c r="C53" s="419">
        <f>C54+C55</f>
        <v>28533944.87</v>
      </c>
      <c r="D53" s="433">
        <f t="shared" si="3"/>
        <v>-12922.660000000149</v>
      </c>
      <c r="E53" s="427" t="s">
        <v>959</v>
      </c>
    </row>
    <row r="54" spans="1:8" ht="15.75">
      <c r="A54" s="417">
        <v>211</v>
      </c>
      <c r="B54" s="419">
        <f>18286841.5+8164695.17+1951335.52-123437.53</f>
        <v>28279434.66</v>
      </c>
      <c r="C54" s="419">
        <f>18286841.5+8164695.17+1951335.52-123437.53-12922.66</f>
        <v>28266512</v>
      </c>
      <c r="D54" s="433">
        <f t="shared" si="3"/>
        <v>-12922.660000000149</v>
      </c>
      <c r="E54" s="427" t="s">
        <v>959</v>
      </c>
      <c r="H54" s="470"/>
    </row>
    <row r="55" spans="1:5" ht="15.75">
      <c r="A55" s="417">
        <v>266</v>
      </c>
      <c r="B55" s="419">
        <f>127432.87+140000</f>
        <v>267432.87</v>
      </c>
      <c r="C55" s="419">
        <f>127432.87+140000</f>
        <v>267432.87</v>
      </c>
      <c r="D55" s="433">
        <f t="shared" si="3"/>
        <v>0</v>
      </c>
      <c r="E55" s="427"/>
    </row>
    <row r="56" spans="1:5" ht="15.75">
      <c r="A56" s="422" t="s">
        <v>780</v>
      </c>
      <c r="B56" s="419">
        <f>778.3+555</f>
        <v>1333.3</v>
      </c>
      <c r="C56" s="419">
        <f>778.3+555</f>
        <v>1333.3</v>
      </c>
      <c r="D56" s="433">
        <f t="shared" si="3"/>
        <v>0</v>
      </c>
      <c r="E56" s="427"/>
    </row>
    <row r="57" spans="1:5" ht="15.75">
      <c r="A57" s="422" t="s">
        <v>851</v>
      </c>
      <c r="B57" s="419">
        <v>110000</v>
      </c>
      <c r="C57" s="419">
        <f>110000+16825.3</f>
        <v>126825.3</v>
      </c>
      <c r="D57" s="433">
        <f t="shared" si="3"/>
        <v>16825.300000000003</v>
      </c>
      <c r="E57" s="427" t="s">
        <v>959</v>
      </c>
    </row>
    <row r="58" spans="1:8" ht="15.75">
      <c r="A58" s="422">
        <v>119</v>
      </c>
      <c r="B58" s="419">
        <f>5522630.18+2501977.57+595342.46-37278.14</f>
        <v>8582672.07</v>
      </c>
      <c r="C58" s="419">
        <f>5522630.18+2501977.57+595342.46-37278.14-3902.64</f>
        <v>8578769.43</v>
      </c>
      <c r="D58" s="433">
        <f t="shared" si="3"/>
        <v>-3902.640000000596</v>
      </c>
      <c r="E58" s="427" t="s">
        <v>959</v>
      </c>
      <c r="G58" s="435"/>
      <c r="H58" s="471"/>
    </row>
    <row r="59" spans="1:5" ht="15.75">
      <c r="A59" s="422">
        <v>244</v>
      </c>
      <c r="B59" s="419">
        <f>SUM(B61:B76)</f>
        <v>9877211.440000001</v>
      </c>
      <c r="C59" s="419">
        <f>SUM(C61:C76)</f>
        <v>9877211.440000001</v>
      </c>
      <c r="D59" s="433">
        <f t="shared" si="3"/>
        <v>0</v>
      </c>
      <c r="E59" s="427"/>
    </row>
    <row r="60" spans="1:5" ht="15.75" hidden="1">
      <c r="A60" s="422">
        <v>321</v>
      </c>
      <c r="B60" s="419"/>
      <c r="C60" s="419"/>
      <c r="D60" s="433">
        <f t="shared" si="3"/>
        <v>0</v>
      </c>
      <c r="E60" s="427"/>
    </row>
    <row r="61" spans="1:5" ht="15.75">
      <c r="A61" s="417">
        <v>221</v>
      </c>
      <c r="B61" s="419">
        <f>72000+32000.1+2644.09+45806.4+55800</f>
        <v>208250.59</v>
      </c>
      <c r="C61" s="419">
        <f>72000+32000.1+2644.09+45806.4+55800</f>
        <v>208250.59</v>
      </c>
      <c r="D61" s="433">
        <f t="shared" si="3"/>
        <v>0</v>
      </c>
      <c r="E61" s="427"/>
    </row>
    <row r="62" spans="1:5" ht="15.75">
      <c r="A62" s="417">
        <v>223</v>
      </c>
      <c r="B62" s="419">
        <v>3093486.76</v>
      </c>
      <c r="C62" s="419">
        <v>3093486.76</v>
      </c>
      <c r="D62" s="433">
        <f t="shared" si="3"/>
        <v>0</v>
      </c>
      <c r="E62" s="427"/>
    </row>
    <row r="63" spans="1:5" ht="15.75">
      <c r="A63" s="417">
        <v>225</v>
      </c>
      <c r="B63" s="419">
        <f>132945.86+1837882.27+431000.92+82473.9-5176-23614.26-3750</f>
        <v>2451762.69</v>
      </c>
      <c r="C63" s="419">
        <f>132945.86+1837882.27+431000.92+82473.9-5176-23614.26-3750</f>
        <v>2451762.69</v>
      </c>
      <c r="D63" s="433">
        <f t="shared" si="3"/>
        <v>0</v>
      </c>
      <c r="E63" s="427"/>
    </row>
    <row r="64" spans="1:5" ht="15.75">
      <c r="A64" s="417">
        <v>226</v>
      </c>
      <c r="B64" s="419">
        <f>305456.9+312180+15000+760001.56+146857.44</f>
        <v>1539495.9</v>
      </c>
      <c r="C64" s="419">
        <f>305456.9+312180+15000+760001.56+146857.44</f>
        <v>1539495.9</v>
      </c>
      <c r="D64" s="433">
        <f t="shared" si="3"/>
        <v>0</v>
      </c>
      <c r="E64" s="427"/>
    </row>
    <row r="65" spans="1:5" ht="15.75">
      <c r="A65" s="417">
        <v>227</v>
      </c>
      <c r="B65" s="419">
        <v>8000</v>
      </c>
      <c r="C65" s="419">
        <v>8000</v>
      </c>
      <c r="D65" s="433">
        <f t="shared" si="3"/>
        <v>0</v>
      </c>
      <c r="E65" s="427"/>
    </row>
    <row r="66" spans="1:5" ht="15.75">
      <c r="A66" s="417">
        <v>228</v>
      </c>
      <c r="B66" s="419">
        <v>962846.06</v>
      </c>
      <c r="C66" s="419">
        <v>962846.06</v>
      </c>
      <c r="D66" s="433">
        <f t="shared" si="3"/>
        <v>0</v>
      </c>
      <c r="E66" s="427"/>
    </row>
    <row r="67" spans="1:5" ht="15.75">
      <c r="A67" s="417">
        <v>310</v>
      </c>
      <c r="B67" s="419">
        <f>399789.61+313210.29+194337.7+74307.91</f>
        <v>981645.5099999999</v>
      </c>
      <c r="C67" s="419">
        <f>399789.61+313210.29+194337.7+74307.91</f>
        <v>981645.5099999999</v>
      </c>
      <c r="D67" s="433">
        <f t="shared" si="3"/>
        <v>0</v>
      </c>
      <c r="E67" s="427"/>
    </row>
    <row r="68" spans="1:5" ht="15.75" hidden="1">
      <c r="A68" s="417">
        <v>321</v>
      </c>
      <c r="B68" s="419"/>
      <c r="C68" s="419"/>
      <c r="D68" s="433">
        <f t="shared" si="3"/>
        <v>0</v>
      </c>
      <c r="E68" s="427"/>
    </row>
    <row r="69" spans="1:5" ht="15.75">
      <c r="A69" s="417">
        <v>341</v>
      </c>
      <c r="B69" s="419">
        <v>7000</v>
      </c>
      <c r="C69" s="419">
        <v>7000</v>
      </c>
      <c r="D69" s="433">
        <f t="shared" si="3"/>
        <v>0</v>
      </c>
      <c r="E69" s="427"/>
    </row>
    <row r="70" spans="1:5" ht="15.75">
      <c r="A70" s="417">
        <v>342</v>
      </c>
      <c r="B70" s="419">
        <v>437421.05</v>
      </c>
      <c r="C70" s="419">
        <v>437421.05</v>
      </c>
      <c r="D70" s="433">
        <f t="shared" si="3"/>
        <v>0</v>
      </c>
      <c r="E70" s="427"/>
    </row>
    <row r="71" spans="1:5" ht="15.75">
      <c r="A71" s="417">
        <v>344</v>
      </c>
      <c r="B71" s="419"/>
      <c r="C71" s="419"/>
      <c r="D71" s="433">
        <f t="shared" si="3"/>
        <v>0</v>
      </c>
      <c r="E71" s="427"/>
    </row>
    <row r="72" spans="1:5" ht="15.75">
      <c r="A72" s="417">
        <v>346</v>
      </c>
      <c r="B72" s="419">
        <f>124943.1+9346.06+53013.72</f>
        <v>187302.88</v>
      </c>
      <c r="C72" s="419">
        <f>124943.1+9346.06+53013.72</f>
        <v>187302.88</v>
      </c>
      <c r="D72" s="433">
        <f t="shared" si="3"/>
        <v>0</v>
      </c>
      <c r="E72" s="427"/>
    </row>
    <row r="73" spans="1:5" ht="15.75">
      <c r="A73" s="417">
        <v>349</v>
      </c>
      <c r="B73" s="419"/>
      <c r="C73" s="419"/>
      <c r="D73" s="433">
        <f t="shared" si="3"/>
        <v>0</v>
      </c>
      <c r="E73" s="427"/>
    </row>
    <row r="74" spans="1:5" ht="15.75" hidden="1">
      <c r="A74" s="422"/>
      <c r="B74" s="419"/>
      <c r="C74" s="419"/>
      <c r="D74" s="433">
        <f t="shared" si="3"/>
        <v>0</v>
      </c>
      <c r="E74" s="427"/>
    </row>
    <row r="75" spans="1:5" ht="15.75" hidden="1">
      <c r="A75" s="422"/>
      <c r="B75" s="419"/>
      <c r="C75" s="419"/>
      <c r="D75" s="433">
        <f t="shared" si="3"/>
        <v>0</v>
      </c>
      <c r="E75" s="427"/>
    </row>
    <row r="76" spans="1:5" ht="15.75" hidden="1">
      <c r="A76" s="422"/>
      <c r="B76" s="419"/>
      <c r="C76" s="419"/>
      <c r="D76" s="433">
        <f t="shared" si="3"/>
        <v>0</v>
      </c>
      <c r="E76" s="427"/>
    </row>
    <row r="77" spans="1:5" ht="15.75" hidden="1">
      <c r="A77" s="422" t="s">
        <v>774</v>
      </c>
      <c r="B77" s="419"/>
      <c r="C77" s="419"/>
      <c r="D77" s="433">
        <f t="shared" si="3"/>
        <v>0</v>
      </c>
      <c r="E77" s="436"/>
    </row>
    <row r="78" spans="1:5" ht="15.75">
      <c r="A78" s="422" t="s">
        <v>775</v>
      </c>
      <c r="B78" s="419">
        <f>2959713+1082174</f>
        <v>4041887</v>
      </c>
      <c r="C78" s="419">
        <f>2959713+1082174</f>
        <v>4041887</v>
      </c>
      <c r="D78" s="433">
        <f t="shared" si="3"/>
        <v>0</v>
      </c>
      <c r="E78" s="427"/>
    </row>
    <row r="79" spans="1:5" ht="15.75" hidden="1">
      <c r="A79" s="422" t="s">
        <v>781</v>
      </c>
      <c r="B79" s="419"/>
      <c r="C79" s="419"/>
      <c r="D79" s="433">
        <f t="shared" si="3"/>
        <v>0</v>
      </c>
      <c r="E79" s="427"/>
    </row>
    <row r="80" spans="1:5" ht="15.75">
      <c r="A80" s="418" t="s">
        <v>776</v>
      </c>
      <c r="B80" s="419">
        <v>3750</v>
      </c>
      <c r="C80" s="419">
        <v>3750</v>
      </c>
      <c r="D80" s="433">
        <f t="shared" si="3"/>
        <v>0</v>
      </c>
      <c r="E80" s="437"/>
    </row>
    <row r="81" spans="1:5" ht="15.75">
      <c r="A81" s="418" t="s">
        <v>782</v>
      </c>
      <c r="B81" s="419"/>
      <c r="C81" s="419"/>
      <c r="D81" s="433">
        <f t="shared" si="3"/>
        <v>0</v>
      </c>
      <c r="E81" s="427"/>
    </row>
    <row r="82" spans="1:5" ht="31.5">
      <c r="A82" s="422" t="s">
        <v>778</v>
      </c>
      <c r="B82" s="423">
        <f>B81+B78+B59+B58+B56+B53+B57+B80</f>
        <v>51163721.34</v>
      </c>
      <c r="C82" s="423">
        <f>C81+C78+C59+C58+C56+C53+C57+C80</f>
        <v>51163721.34</v>
      </c>
      <c r="D82" s="433">
        <f>C82-B82</f>
        <v>0</v>
      </c>
      <c r="E82" s="427"/>
    </row>
    <row r="83" spans="1:5" ht="16.5">
      <c r="A83" s="429"/>
      <c r="B83" s="430"/>
      <c r="C83" s="430"/>
      <c r="D83" s="430"/>
      <c r="E83" s="431"/>
    </row>
    <row r="84" spans="1:5" ht="18.75">
      <c r="A84" s="773" t="s">
        <v>783</v>
      </c>
      <c r="B84" s="773"/>
      <c r="C84" s="773"/>
      <c r="D84" s="773"/>
      <c r="E84" s="773"/>
    </row>
    <row r="85" spans="1:5" ht="16.5">
      <c r="A85" s="438"/>
      <c r="B85" s="438"/>
      <c r="C85" s="438"/>
      <c r="D85" s="438"/>
      <c r="E85" s="439"/>
    </row>
    <row r="86" spans="1:5" ht="31.5">
      <c r="A86" s="416" t="s">
        <v>164</v>
      </c>
      <c r="B86" s="417" t="s">
        <v>950</v>
      </c>
      <c r="C86" s="417" t="s">
        <v>957</v>
      </c>
      <c r="D86" s="417" t="s">
        <v>771</v>
      </c>
      <c r="E86" s="417" t="s">
        <v>772</v>
      </c>
    </row>
    <row r="87" spans="1:5" ht="16.5">
      <c r="A87" s="440">
        <v>150</v>
      </c>
      <c r="B87" s="441">
        <f>B122</f>
        <v>6052040.519999999</v>
      </c>
      <c r="C87" s="441">
        <f>C122</f>
        <v>6052040.519999999</v>
      </c>
      <c r="D87" s="441">
        <f>C87-B87</f>
        <v>0</v>
      </c>
      <c r="E87" s="442"/>
    </row>
    <row r="88" spans="1:5" ht="16.5">
      <c r="A88" s="443" t="s">
        <v>4</v>
      </c>
      <c r="B88" s="463"/>
      <c r="C88" s="444"/>
      <c r="D88" s="441">
        <f aca="true" t="shared" si="4" ref="D88:D134">C88-B88</f>
        <v>0</v>
      </c>
      <c r="E88" s="461"/>
    </row>
    <row r="89" spans="1:5" ht="16.5">
      <c r="A89" s="445">
        <v>901370000</v>
      </c>
      <c r="B89" s="446">
        <v>56000</v>
      </c>
      <c r="C89" s="446">
        <v>56000</v>
      </c>
      <c r="D89" s="441">
        <f t="shared" si="4"/>
        <v>0</v>
      </c>
      <c r="E89" s="442"/>
    </row>
    <row r="90" spans="1:5" ht="16.5">
      <c r="A90" s="445">
        <v>901030000</v>
      </c>
      <c r="B90" s="446">
        <v>9039.6</v>
      </c>
      <c r="C90" s="446">
        <v>9039.6</v>
      </c>
      <c r="D90" s="441">
        <f t="shared" si="4"/>
        <v>0</v>
      </c>
      <c r="E90" s="442"/>
    </row>
    <row r="91" spans="1:5" ht="16.5">
      <c r="A91" s="445">
        <v>901210000</v>
      </c>
      <c r="B91" s="446">
        <v>876777</v>
      </c>
      <c r="C91" s="446">
        <v>876777</v>
      </c>
      <c r="D91" s="441">
        <f t="shared" si="4"/>
        <v>0</v>
      </c>
      <c r="E91" s="442"/>
    </row>
    <row r="92" spans="1:5" ht="16.5">
      <c r="A92" s="445">
        <v>901140000</v>
      </c>
      <c r="B92" s="446">
        <v>155008</v>
      </c>
      <c r="C92" s="446">
        <v>155008</v>
      </c>
      <c r="D92" s="441">
        <f t="shared" si="4"/>
        <v>0</v>
      </c>
      <c r="E92" s="442"/>
    </row>
    <row r="93" spans="1:5" ht="16.5">
      <c r="A93" s="447">
        <v>901150000</v>
      </c>
      <c r="B93" s="446">
        <v>396173</v>
      </c>
      <c r="C93" s="446">
        <v>396173</v>
      </c>
      <c r="D93" s="441">
        <f t="shared" si="4"/>
        <v>0</v>
      </c>
      <c r="E93" s="442"/>
    </row>
    <row r="94" spans="1:5" ht="16.5">
      <c r="A94" s="447">
        <v>901160000</v>
      </c>
      <c r="B94" s="446">
        <v>949644</v>
      </c>
      <c r="C94" s="446">
        <v>949644</v>
      </c>
      <c r="D94" s="441">
        <f t="shared" si="4"/>
        <v>0</v>
      </c>
      <c r="E94" s="442"/>
    </row>
    <row r="95" spans="1:5" ht="16.5">
      <c r="A95" s="447">
        <v>901890000</v>
      </c>
      <c r="B95" s="446">
        <v>1440</v>
      </c>
      <c r="C95" s="446">
        <v>1440</v>
      </c>
      <c r="D95" s="441">
        <f t="shared" si="4"/>
        <v>0</v>
      </c>
      <c r="E95" s="442"/>
    </row>
    <row r="96" spans="1:5" ht="16.5">
      <c r="A96" s="447">
        <v>901870000</v>
      </c>
      <c r="B96" s="446">
        <v>12915</v>
      </c>
      <c r="C96" s="446">
        <v>12915</v>
      </c>
      <c r="D96" s="441">
        <f t="shared" si="4"/>
        <v>0</v>
      </c>
      <c r="E96" s="442"/>
    </row>
    <row r="97" spans="1:5" ht="16.5">
      <c r="A97" s="447">
        <v>901270000</v>
      </c>
      <c r="B97" s="446">
        <v>18257.44</v>
      </c>
      <c r="C97" s="446">
        <v>18257.44</v>
      </c>
      <c r="D97" s="441">
        <f t="shared" si="4"/>
        <v>0</v>
      </c>
      <c r="E97" s="442"/>
    </row>
    <row r="98" spans="1:5" ht="16.5">
      <c r="A98" s="447">
        <v>901830000</v>
      </c>
      <c r="B98" s="446">
        <v>532435.56</v>
      </c>
      <c r="C98" s="446">
        <v>532435.56</v>
      </c>
      <c r="D98" s="441">
        <f t="shared" si="4"/>
        <v>0</v>
      </c>
      <c r="E98" s="442"/>
    </row>
    <row r="99" spans="1:5" ht="16.5">
      <c r="A99" s="447">
        <v>901010000</v>
      </c>
      <c r="B99" s="448">
        <v>10000</v>
      </c>
      <c r="C99" s="448">
        <v>10000</v>
      </c>
      <c r="D99" s="441">
        <f t="shared" si="4"/>
        <v>0</v>
      </c>
      <c r="E99" s="442"/>
    </row>
    <row r="100" spans="1:5" ht="38.25" customHeight="1" hidden="1">
      <c r="A100" s="449">
        <v>90105</v>
      </c>
      <c r="B100" s="448"/>
      <c r="C100" s="448"/>
      <c r="D100" s="441">
        <f t="shared" si="4"/>
        <v>0</v>
      </c>
      <c r="E100" s="442"/>
    </row>
    <row r="101" spans="1:5" ht="33" customHeight="1" hidden="1">
      <c r="A101" s="447">
        <v>90187</v>
      </c>
      <c r="B101" s="448"/>
      <c r="C101" s="448"/>
      <c r="D101" s="441">
        <f t="shared" si="4"/>
        <v>0</v>
      </c>
      <c r="E101" s="442"/>
    </row>
    <row r="102" spans="1:5" ht="45.75" customHeight="1" hidden="1">
      <c r="A102" s="449">
        <v>90193</v>
      </c>
      <c r="B102" s="448"/>
      <c r="C102" s="448"/>
      <c r="D102" s="441">
        <f t="shared" si="4"/>
        <v>0</v>
      </c>
      <c r="E102" s="442"/>
    </row>
    <row r="103" spans="1:5" ht="39" customHeight="1" hidden="1">
      <c r="A103" s="449">
        <v>90149</v>
      </c>
      <c r="B103" s="448"/>
      <c r="C103" s="448"/>
      <c r="D103" s="441">
        <f t="shared" si="4"/>
        <v>0</v>
      </c>
      <c r="E103" s="442"/>
    </row>
    <row r="104" spans="1:5" ht="33.75" customHeight="1" hidden="1">
      <c r="A104" s="449">
        <v>90103</v>
      </c>
      <c r="B104" s="448"/>
      <c r="C104" s="448"/>
      <c r="D104" s="441">
        <f t="shared" si="4"/>
        <v>0</v>
      </c>
      <c r="E104" s="442"/>
    </row>
    <row r="105" spans="1:5" ht="37.5" customHeight="1" hidden="1">
      <c r="A105" s="447">
        <v>901800000</v>
      </c>
      <c r="B105" s="448"/>
      <c r="C105" s="448"/>
      <c r="D105" s="441">
        <f t="shared" si="4"/>
        <v>0</v>
      </c>
      <c r="E105" s="442"/>
    </row>
    <row r="106" spans="1:5" ht="36.75" customHeight="1" hidden="1">
      <c r="A106" s="447">
        <v>901890000</v>
      </c>
      <c r="B106" s="448"/>
      <c r="C106" s="448"/>
      <c r="D106" s="441">
        <f t="shared" si="4"/>
        <v>0</v>
      </c>
      <c r="E106" s="442"/>
    </row>
    <row r="107" spans="1:5" ht="16.5">
      <c r="A107" s="447">
        <v>901170000</v>
      </c>
      <c r="B107" s="448">
        <v>90000</v>
      </c>
      <c r="C107" s="448">
        <v>90000</v>
      </c>
      <c r="D107" s="441">
        <f t="shared" si="4"/>
        <v>0</v>
      </c>
      <c r="E107" s="442"/>
    </row>
    <row r="108" spans="1:5" ht="16.5">
      <c r="A108" s="447">
        <v>901480000</v>
      </c>
      <c r="B108" s="446">
        <v>1781767</v>
      </c>
      <c r="C108" s="446">
        <v>1781767</v>
      </c>
      <c r="D108" s="441">
        <f t="shared" si="4"/>
        <v>0</v>
      </c>
      <c r="E108" s="442"/>
    </row>
    <row r="109" spans="1:5" ht="16.5">
      <c r="A109" s="447">
        <v>901480000</v>
      </c>
      <c r="B109" s="509">
        <v>364383</v>
      </c>
      <c r="C109" s="509">
        <v>364383</v>
      </c>
      <c r="D109" s="441">
        <f t="shared" si="4"/>
        <v>0</v>
      </c>
      <c r="E109" s="442"/>
    </row>
    <row r="110" spans="1:5" ht="16.5">
      <c r="A110" s="447">
        <v>901160000</v>
      </c>
      <c r="B110" s="509">
        <v>124075</v>
      </c>
      <c r="C110" s="509">
        <v>124075</v>
      </c>
      <c r="D110" s="441">
        <f t="shared" si="4"/>
        <v>0</v>
      </c>
      <c r="E110" s="442"/>
    </row>
    <row r="111" spans="1:5" ht="16.5">
      <c r="A111" s="447">
        <v>901830000</v>
      </c>
      <c r="B111" s="509">
        <v>64712.38</v>
      </c>
      <c r="C111" s="509">
        <v>64712.38</v>
      </c>
      <c r="D111" s="441">
        <f t="shared" si="4"/>
        <v>0</v>
      </c>
      <c r="E111" s="442"/>
    </row>
    <row r="112" spans="1:5" ht="16.5">
      <c r="A112" s="447">
        <v>901060000</v>
      </c>
      <c r="B112" s="509">
        <f>105204.41+39777.72+31380.21</f>
        <v>176362.34</v>
      </c>
      <c r="C112" s="509">
        <f>105204.41+39777.72+31380.21</f>
        <v>176362.34</v>
      </c>
      <c r="D112" s="441">
        <f t="shared" si="4"/>
        <v>0</v>
      </c>
      <c r="E112" s="442"/>
    </row>
    <row r="113" spans="1:5" ht="16.5">
      <c r="A113" s="447">
        <v>901140000</v>
      </c>
      <c r="B113" s="509">
        <v>56596</v>
      </c>
      <c r="C113" s="509">
        <v>56596</v>
      </c>
      <c r="D113" s="441">
        <f t="shared" si="4"/>
        <v>0</v>
      </c>
      <c r="E113" s="442"/>
    </row>
    <row r="114" spans="1:5" ht="16.5">
      <c r="A114" s="447">
        <v>901140000</v>
      </c>
      <c r="B114" s="509">
        <v>13862</v>
      </c>
      <c r="C114" s="509">
        <v>13862</v>
      </c>
      <c r="D114" s="441">
        <f t="shared" si="4"/>
        <v>0</v>
      </c>
      <c r="E114" s="442"/>
    </row>
    <row r="115" spans="1:5" ht="16.5">
      <c r="A115" s="447">
        <v>901150000</v>
      </c>
      <c r="B115" s="509">
        <v>67915</v>
      </c>
      <c r="C115" s="509">
        <v>67915</v>
      </c>
      <c r="D115" s="441">
        <f t="shared" si="4"/>
        <v>0</v>
      </c>
      <c r="E115" s="442"/>
    </row>
    <row r="116" spans="1:5" ht="16.5">
      <c r="A116" s="447">
        <v>901210000</v>
      </c>
      <c r="B116" s="509">
        <v>105533</v>
      </c>
      <c r="C116" s="509">
        <v>105533</v>
      </c>
      <c r="D116" s="441">
        <f t="shared" si="4"/>
        <v>0</v>
      </c>
      <c r="E116" s="442"/>
    </row>
    <row r="117" spans="1:5" ht="16.5">
      <c r="A117" s="447">
        <v>901480000</v>
      </c>
      <c r="B117" s="509">
        <v>100000</v>
      </c>
      <c r="C117" s="509">
        <v>100000</v>
      </c>
      <c r="D117" s="441">
        <f t="shared" si="4"/>
        <v>0</v>
      </c>
      <c r="E117" s="442"/>
    </row>
    <row r="118" spans="1:5" ht="16.5">
      <c r="A118" s="447">
        <v>901370000</v>
      </c>
      <c r="B118" s="509">
        <v>56000</v>
      </c>
      <c r="C118" s="509">
        <v>56000</v>
      </c>
      <c r="D118" s="441">
        <f t="shared" si="4"/>
        <v>0</v>
      </c>
      <c r="E118" s="442"/>
    </row>
    <row r="119" spans="1:5" ht="16.5">
      <c r="A119" s="447">
        <v>901030000</v>
      </c>
      <c r="B119" s="509">
        <v>9039.6</v>
      </c>
      <c r="C119" s="509">
        <v>9039.6</v>
      </c>
      <c r="D119" s="441">
        <f t="shared" si="4"/>
        <v>0</v>
      </c>
      <c r="E119" s="442"/>
    </row>
    <row r="120" spans="1:5" ht="16.5">
      <c r="A120" s="447">
        <v>901490000</v>
      </c>
      <c r="B120" s="509">
        <v>12052.8</v>
      </c>
      <c r="C120" s="509">
        <v>12052.8</v>
      </c>
      <c r="D120" s="441">
        <f t="shared" si="4"/>
        <v>0</v>
      </c>
      <c r="E120" s="442"/>
    </row>
    <row r="121" spans="1:5" ht="16.5">
      <c r="A121" s="447">
        <v>901490000</v>
      </c>
      <c r="B121" s="462">
        <v>12052.8</v>
      </c>
      <c r="C121" s="462">
        <v>12052.8</v>
      </c>
      <c r="D121" s="441">
        <f t="shared" si="4"/>
        <v>0</v>
      </c>
      <c r="E121" s="442"/>
    </row>
    <row r="122" spans="1:5" ht="33">
      <c r="A122" s="450" t="s">
        <v>773</v>
      </c>
      <c r="B122" s="451">
        <f>SUM(B89:B121)</f>
        <v>6052040.519999999</v>
      </c>
      <c r="C122" s="451">
        <f>SUM(C89:C121)</f>
        <v>6052040.519999999</v>
      </c>
      <c r="D122" s="441">
        <f t="shared" si="4"/>
        <v>0</v>
      </c>
      <c r="E122" s="442"/>
    </row>
    <row r="123" spans="1:5" ht="16.5">
      <c r="A123" s="450" t="s">
        <v>789</v>
      </c>
      <c r="B123" s="441">
        <f>1598344.58+753495.68+439757.32+346052.28+94268.13+88414.03</f>
        <v>3320332.02</v>
      </c>
      <c r="C123" s="441">
        <f>1598344.58+753495.68+439757.32+346052.28+94268.13+88414.03</f>
        <v>3320332.02</v>
      </c>
      <c r="D123" s="441">
        <f t="shared" si="4"/>
        <v>0</v>
      </c>
      <c r="E123" s="442"/>
    </row>
    <row r="124" spans="1:5" ht="16.5">
      <c r="A124" s="450" t="s">
        <v>790</v>
      </c>
      <c r="B124" s="441">
        <f>10000+4775.84+8000</f>
        <v>22775.84</v>
      </c>
      <c r="C124" s="441">
        <f>10000+4775.84+8000</f>
        <v>22775.84</v>
      </c>
      <c r="D124" s="441">
        <f t="shared" si="4"/>
        <v>0</v>
      </c>
      <c r="E124" s="442"/>
    </row>
    <row r="125" spans="1:5" ht="16.5">
      <c r="A125" s="450">
        <v>119</v>
      </c>
      <c r="B125" s="441">
        <f>482700.07+227555.7+132802.64+106017.12+29072.97+27003.03</f>
        <v>1005151.53</v>
      </c>
      <c r="C125" s="441">
        <f>482700.07+227555.7+132802.64+106017.12+29072.97+27003.03</f>
        <v>1005151.53</v>
      </c>
      <c r="D125" s="441">
        <f t="shared" si="4"/>
        <v>0</v>
      </c>
      <c r="E125" s="442"/>
    </row>
    <row r="126" spans="1:5" ht="16.5">
      <c r="A126" s="450">
        <v>112</v>
      </c>
      <c r="B126" s="441">
        <v>332184.8</v>
      </c>
      <c r="C126" s="441">
        <f>C127+C128</f>
        <v>332184.8</v>
      </c>
      <c r="D126" s="441">
        <f t="shared" si="4"/>
        <v>0</v>
      </c>
      <c r="E126" s="442"/>
    </row>
    <row r="127" spans="1:5" ht="16.5">
      <c r="A127" s="450" t="s">
        <v>780</v>
      </c>
      <c r="B127" s="441">
        <v>290000</v>
      </c>
      <c r="C127" s="441">
        <v>290000</v>
      </c>
      <c r="D127" s="441">
        <f t="shared" si="4"/>
        <v>0</v>
      </c>
      <c r="E127" s="442"/>
    </row>
    <row r="128" spans="1:5" ht="16.5">
      <c r="A128" s="450" t="s">
        <v>793</v>
      </c>
      <c r="B128" s="441">
        <f>9039.6+12052.8+9039.6+12052.8</f>
        <v>42184.8</v>
      </c>
      <c r="C128" s="441">
        <f>9039.6+12052.8+9039.6+12052.8</f>
        <v>42184.8</v>
      </c>
      <c r="D128" s="441">
        <f t="shared" si="4"/>
        <v>0</v>
      </c>
      <c r="E128" s="442"/>
    </row>
    <row r="129" spans="1:5" ht="16.5">
      <c r="A129" s="450">
        <v>244</v>
      </c>
      <c r="B129" s="441">
        <f>249816.85+39777.72+10000+31380.21</f>
        <v>330974.78</v>
      </c>
      <c r="C129" s="441">
        <f>249816.85+39777.72+10000+31380.21</f>
        <v>330974.78</v>
      </c>
      <c r="D129" s="441">
        <f t="shared" si="4"/>
        <v>0</v>
      </c>
      <c r="E129" s="442"/>
    </row>
    <row r="130" spans="1:5" ht="16.5">
      <c r="A130" s="450">
        <v>321</v>
      </c>
      <c r="B130" s="441">
        <f>30497+13862</f>
        <v>44359</v>
      </c>
      <c r="C130" s="441">
        <f>30497+13862</f>
        <v>44359</v>
      </c>
      <c r="D130" s="441">
        <f t="shared" si="4"/>
        <v>0</v>
      </c>
      <c r="E130" s="442"/>
    </row>
    <row r="131" spans="1:5" ht="16.5">
      <c r="A131" s="450">
        <v>323</v>
      </c>
      <c r="B131" s="441">
        <f>124511+449289.98+876777+57544.92+67915+105533</f>
        <v>1681570.9</v>
      </c>
      <c r="C131" s="441">
        <f>124511+449289.98+876777+57544.92+67915+105533</f>
        <v>1681570.9</v>
      </c>
      <c r="D131" s="441">
        <f t="shared" si="4"/>
        <v>0</v>
      </c>
      <c r="E131" s="442"/>
    </row>
    <row r="132" spans="1:5" ht="16.5">
      <c r="A132" s="440"/>
      <c r="B132" s="441"/>
      <c r="C132" s="441"/>
      <c r="D132" s="441">
        <f t="shared" si="4"/>
        <v>0</v>
      </c>
      <c r="E132" s="452"/>
    </row>
    <row r="133" spans="1:5" ht="16.5">
      <c r="A133" s="440"/>
      <c r="B133" s="441"/>
      <c r="C133" s="441"/>
      <c r="D133" s="441">
        <f t="shared" si="4"/>
        <v>0</v>
      </c>
      <c r="E133" s="453"/>
    </row>
    <row r="134" spans="1:5" ht="33">
      <c r="A134" s="450" t="s">
        <v>778</v>
      </c>
      <c r="B134" s="451">
        <f>B131+B130+B129+B126+B125+B123+B124</f>
        <v>6737348.869999999</v>
      </c>
      <c r="C134" s="451">
        <f>C131+C130+C129+C126+C125+C123+C124</f>
        <v>6737348.869999999</v>
      </c>
      <c r="D134" s="441">
        <f t="shared" si="4"/>
        <v>0</v>
      </c>
      <c r="E134" s="442"/>
    </row>
    <row r="135" spans="1:5" ht="16.5">
      <c r="A135" s="454"/>
      <c r="B135" s="430"/>
      <c r="C135" s="455"/>
      <c r="D135" s="455"/>
      <c r="E135" s="456"/>
    </row>
    <row r="136" spans="1:5" ht="16.5">
      <c r="A136" s="454"/>
      <c r="B136" s="430"/>
      <c r="C136" s="455"/>
      <c r="D136" s="455"/>
      <c r="E136" s="456"/>
    </row>
    <row r="137" spans="1:5" ht="18.75">
      <c r="A137" s="438" t="s">
        <v>784</v>
      </c>
      <c r="B137" s="438"/>
      <c r="C137" s="457" t="s">
        <v>785</v>
      </c>
      <c r="D137" s="415"/>
      <c r="E137" s="11"/>
    </row>
    <row r="138" spans="1:5" ht="16.5">
      <c r="A138" s="438"/>
      <c r="B138" s="438"/>
      <c r="C138" s="458"/>
      <c r="D138" s="459"/>
      <c r="E138" s="11"/>
    </row>
    <row r="139" spans="1:5" ht="16.5">
      <c r="A139" s="438"/>
      <c r="B139" s="438"/>
      <c r="C139" s="457"/>
      <c r="D139" s="438"/>
      <c r="E139" s="11"/>
    </row>
    <row r="140" spans="1:5" ht="16.5">
      <c r="A140" s="438" t="s">
        <v>787</v>
      </c>
      <c r="B140" s="438"/>
      <c r="C140" s="438"/>
      <c r="D140" s="460"/>
      <c r="E140" s="11"/>
    </row>
    <row r="141" spans="1:5" ht="16.5">
      <c r="A141" s="438" t="s">
        <v>788</v>
      </c>
      <c r="B141" s="438"/>
      <c r="C141" s="438"/>
      <c r="D141" s="438"/>
      <c r="E141" s="11"/>
    </row>
  </sheetData>
  <sheetProtection/>
  <mergeCells count="6">
    <mergeCell ref="A1:E1"/>
    <mergeCell ref="A2:E2"/>
    <mergeCell ref="A4:E4"/>
    <mergeCell ref="A7:E7"/>
    <mergeCell ref="A48:E48"/>
    <mergeCell ref="A84:E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2" manualBreakCount="2">
    <brk id="47" max="5" man="1"/>
    <brk id="83" max="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85" zoomScaleNormal="55" zoomScaleSheetLayoutView="85" zoomScalePageLayoutView="0" workbookViewId="0" topLeftCell="A1">
      <selection activeCell="D13" sqref="D13"/>
    </sheetView>
  </sheetViews>
  <sheetFormatPr defaultColWidth="9.140625" defaultRowHeight="15"/>
  <cols>
    <col min="1" max="1" width="48.57421875" style="0" customWidth="1"/>
    <col min="2" max="2" width="23.140625" style="0" customWidth="1"/>
    <col min="3" max="3" width="19.00390625" style="0" customWidth="1"/>
    <col min="4" max="4" width="25.140625" style="0" customWidth="1"/>
    <col min="5" max="5" width="22.28125" style="0" customWidth="1"/>
  </cols>
  <sheetData>
    <row r="1" spans="1:5" ht="15.75">
      <c r="A1" s="774" t="s">
        <v>802</v>
      </c>
      <c r="B1" s="774"/>
      <c r="C1" s="774"/>
      <c r="D1" s="774"/>
      <c r="E1" s="774"/>
    </row>
    <row r="3" ht="15">
      <c r="A3" s="473"/>
    </row>
    <row r="4" spans="1:5" ht="15.75">
      <c r="A4" s="775" t="s">
        <v>803</v>
      </c>
      <c r="B4" s="775"/>
      <c r="C4" s="775"/>
      <c r="D4" s="775"/>
      <c r="E4" s="775"/>
    </row>
    <row r="5" spans="1:5" ht="15.75">
      <c r="A5" s="775" t="s">
        <v>812</v>
      </c>
      <c r="B5" s="775"/>
      <c r="C5" s="775"/>
      <c r="D5" s="775"/>
      <c r="E5" s="775"/>
    </row>
    <row r="6" ht="15.75">
      <c r="A6" s="474" t="s">
        <v>804</v>
      </c>
    </row>
    <row r="7" spans="1:5" ht="99" customHeight="1">
      <c r="A7" s="776" t="s">
        <v>805</v>
      </c>
      <c r="B7" s="776" t="s">
        <v>806</v>
      </c>
      <c r="C7" s="776" t="s">
        <v>807</v>
      </c>
      <c r="D7" s="776" t="s">
        <v>808</v>
      </c>
      <c r="E7" s="776" t="s">
        <v>809</v>
      </c>
    </row>
    <row r="8" spans="1:5" ht="15">
      <c r="A8" s="776"/>
      <c r="B8" s="776"/>
      <c r="C8" s="776"/>
      <c r="D8" s="776"/>
      <c r="E8" s="776"/>
    </row>
    <row r="9" spans="1:5" ht="15">
      <c r="A9" s="776"/>
      <c r="B9" s="776"/>
      <c r="C9" s="776"/>
      <c r="D9" s="776"/>
      <c r="E9" s="776"/>
    </row>
    <row r="10" spans="1:5" ht="66" customHeight="1">
      <c r="A10" s="475" t="s">
        <v>951</v>
      </c>
      <c r="B10" s="476" t="s">
        <v>810</v>
      </c>
      <c r="C10" s="477"/>
      <c r="D10" s="478"/>
      <c r="E10" s="477"/>
    </row>
    <row r="11" spans="1:5" ht="78.75" customHeight="1">
      <c r="A11" s="434" t="s">
        <v>815</v>
      </c>
      <c r="B11" s="476" t="s">
        <v>952</v>
      </c>
      <c r="C11" s="476"/>
      <c r="D11" s="434"/>
      <c r="E11" s="476"/>
    </row>
    <row r="12" spans="1:5" ht="67.5" customHeight="1">
      <c r="A12" s="475" t="s">
        <v>816</v>
      </c>
      <c r="B12" s="476"/>
      <c r="C12" s="476"/>
      <c r="D12" s="434" t="s">
        <v>956</v>
      </c>
      <c r="E12" s="476"/>
    </row>
    <row r="13" spans="1:5" ht="65.25" customHeight="1">
      <c r="A13" s="475" t="s">
        <v>953</v>
      </c>
      <c r="B13" s="479"/>
      <c r="C13" s="475"/>
      <c r="D13" s="434" t="s">
        <v>811</v>
      </c>
      <c r="E13" s="475"/>
    </row>
    <row r="14" spans="1:5" ht="55.5" customHeight="1">
      <c r="A14" s="475" t="s">
        <v>817</v>
      </c>
      <c r="B14" s="475"/>
      <c r="C14" s="475"/>
      <c r="D14" s="434" t="s">
        <v>811</v>
      </c>
      <c r="E14" s="475"/>
    </row>
    <row r="15" spans="1:5" ht="57.75" customHeight="1">
      <c r="A15" s="475" t="s">
        <v>818</v>
      </c>
      <c r="B15" s="475"/>
      <c r="C15" s="475"/>
      <c r="D15" s="434" t="s">
        <v>811</v>
      </c>
      <c r="E15" s="475"/>
    </row>
    <row r="16" ht="15">
      <c r="A16" s="480"/>
    </row>
    <row r="17" ht="15.75">
      <c r="A17" s="481"/>
    </row>
    <row r="18" ht="15.75">
      <c r="A18" s="481"/>
    </row>
    <row r="19" ht="15.75">
      <c r="A19" s="481" t="s">
        <v>814</v>
      </c>
    </row>
    <row r="20" ht="15.75">
      <c r="A20" s="481" t="s">
        <v>813</v>
      </c>
    </row>
  </sheetData>
  <sheetProtection/>
  <mergeCells count="8">
    <mergeCell ref="A1:E1"/>
    <mergeCell ref="A4:E4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601" t="s">
        <v>393</v>
      </c>
      <c r="C1" s="601"/>
    </row>
    <row r="2" spans="2:3" ht="10.5" customHeight="1">
      <c r="B2" s="49" t="s">
        <v>381</v>
      </c>
      <c r="C2" s="49"/>
    </row>
    <row r="3" spans="2:3" ht="21" customHeight="1">
      <c r="B3" s="602" t="s">
        <v>0</v>
      </c>
      <c r="C3" s="602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0"/>
  <sheetViews>
    <sheetView view="pageBreakPreview" zoomScale="85" zoomScaleNormal="120" zoomScaleSheetLayoutView="85" workbookViewId="0" topLeftCell="A84">
      <selection activeCell="I130" sqref="I130:I131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10.57421875" style="20" bestFit="1" customWidth="1"/>
    <col min="5" max="6" width="6.7109375" style="20" customWidth="1"/>
    <col min="7" max="7" width="15.00390625" style="20" bestFit="1" customWidth="1"/>
    <col min="8" max="8" width="13.421875" style="20" bestFit="1" customWidth="1"/>
    <col min="9" max="9" width="18.28125" style="20" bestFit="1" customWidth="1"/>
    <col min="10" max="10" width="16.8515625" style="20" bestFit="1" customWidth="1"/>
    <col min="11" max="11" width="5.57421875" style="20" hidden="1" customWidth="1"/>
    <col min="12" max="12" width="11.421875" style="20" hidden="1" customWidth="1"/>
    <col min="13" max="13" width="16.57421875" style="20" customWidth="1"/>
    <col min="14" max="14" width="5.28125" style="20" customWidth="1"/>
    <col min="15" max="15" width="12.8515625" style="63" customWidth="1"/>
    <col min="16" max="16" width="15.00390625" style="0" customWidth="1"/>
  </cols>
  <sheetData>
    <row r="1" spans="1:14" ht="12.75" customHeight="1">
      <c r="A1" s="620" t="s">
        <v>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626" t="s">
        <v>41</v>
      </c>
      <c r="I3" s="626"/>
      <c r="J3" s="626"/>
      <c r="K3" s="626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624" t="s">
        <v>766</v>
      </c>
      <c r="I4" s="625"/>
      <c r="J4" s="625"/>
      <c r="K4" s="625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621" t="s">
        <v>1</v>
      </c>
      <c r="B6" s="617" t="s">
        <v>45</v>
      </c>
      <c r="C6" s="605" t="s">
        <v>397</v>
      </c>
      <c r="D6" s="627" t="s">
        <v>163</v>
      </c>
      <c r="E6" s="614" t="s">
        <v>164</v>
      </c>
      <c r="F6" s="617" t="s">
        <v>165</v>
      </c>
      <c r="G6" s="608" t="s">
        <v>338</v>
      </c>
      <c r="H6" s="611" t="s">
        <v>38</v>
      </c>
      <c r="I6" s="612"/>
      <c r="J6" s="612"/>
      <c r="K6" s="612"/>
      <c r="L6" s="612"/>
      <c r="M6" s="612"/>
      <c r="N6" s="613"/>
      <c r="O6" s="64"/>
    </row>
    <row r="7" spans="1:15" s="8" customFormat="1" ht="16.5" customHeight="1">
      <c r="A7" s="622"/>
      <c r="B7" s="617"/>
      <c r="C7" s="606"/>
      <c r="D7" s="628"/>
      <c r="E7" s="615"/>
      <c r="F7" s="617"/>
      <c r="G7" s="609"/>
      <c r="H7" s="614" t="s">
        <v>33</v>
      </c>
      <c r="I7" s="617" t="s">
        <v>4</v>
      </c>
      <c r="J7" s="617"/>
      <c r="K7" s="617"/>
      <c r="L7" s="617"/>
      <c r="M7" s="617"/>
      <c r="N7" s="617"/>
      <c r="O7" s="64"/>
    </row>
    <row r="8" spans="1:15" s="8" customFormat="1" ht="68.25" customHeight="1">
      <c r="A8" s="622"/>
      <c r="B8" s="617"/>
      <c r="C8" s="606"/>
      <c r="D8" s="628"/>
      <c r="E8" s="615"/>
      <c r="F8" s="617"/>
      <c r="G8" s="609"/>
      <c r="H8" s="615"/>
      <c r="I8" s="618" t="s">
        <v>398</v>
      </c>
      <c r="J8" s="603" t="s">
        <v>166</v>
      </c>
      <c r="K8" s="616" t="s">
        <v>34</v>
      </c>
      <c r="L8" s="615" t="s">
        <v>35</v>
      </c>
      <c r="M8" s="616" t="s">
        <v>50</v>
      </c>
      <c r="N8" s="616"/>
      <c r="O8" s="64"/>
    </row>
    <row r="9" spans="1:15" s="8" customFormat="1" ht="30.75" customHeight="1">
      <c r="A9" s="623"/>
      <c r="B9" s="617"/>
      <c r="C9" s="607"/>
      <c r="D9" s="629"/>
      <c r="E9" s="616"/>
      <c r="F9" s="617"/>
      <c r="G9" s="610"/>
      <c r="H9" s="616"/>
      <c r="I9" s="619"/>
      <c r="J9" s="604"/>
      <c r="K9" s="617"/>
      <c r="L9" s="616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6" s="168" customFormat="1" ht="12.75">
      <c r="A11" s="103" t="s">
        <v>43</v>
      </c>
      <c r="B11" s="165">
        <v>100</v>
      </c>
      <c r="C11" s="165"/>
      <c r="D11" s="165"/>
      <c r="E11" s="165"/>
      <c r="F11" s="165" t="s">
        <v>10</v>
      </c>
      <c r="G11" s="166"/>
      <c r="H11" s="167">
        <f>H13+H17+H57</f>
        <v>66357733.349999994</v>
      </c>
      <c r="I11" s="167">
        <f>I17</f>
        <v>46600575.79</v>
      </c>
      <c r="J11" s="167">
        <f>J57</f>
        <v>6052040.52</v>
      </c>
      <c r="K11" s="167">
        <f>K59</f>
        <v>0</v>
      </c>
      <c r="L11" s="167">
        <f>L17</f>
        <v>0</v>
      </c>
      <c r="M11" s="167">
        <f>M13+M17+M56+M85</f>
        <v>13481583.04</v>
      </c>
      <c r="N11" s="167">
        <f>N17+N85</f>
        <v>0</v>
      </c>
      <c r="P11" s="167"/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3" customFormat="1" ht="17.25" customHeight="1">
      <c r="A13" s="169" t="s">
        <v>32</v>
      </c>
      <c r="B13" s="157">
        <v>110</v>
      </c>
      <c r="C13" s="157">
        <v>120</v>
      </c>
      <c r="D13" s="170" t="s">
        <v>521</v>
      </c>
      <c r="E13" s="157"/>
      <c r="F13" s="157">
        <v>120</v>
      </c>
      <c r="G13" s="171" t="s">
        <v>363</v>
      </c>
      <c r="H13" s="159">
        <f>M13</f>
        <v>786083.04</v>
      </c>
      <c r="I13" s="157" t="s">
        <v>74</v>
      </c>
      <c r="J13" s="157" t="s">
        <v>74</v>
      </c>
      <c r="K13" s="172" t="s">
        <v>10</v>
      </c>
      <c r="L13" s="172" t="s">
        <v>10</v>
      </c>
      <c r="M13" s="162">
        <f>M15+M16</f>
        <v>786083.04</v>
      </c>
      <c r="N13" s="172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521</v>
      </c>
      <c r="E15" s="115"/>
      <c r="F15" s="115">
        <v>121</v>
      </c>
      <c r="G15" s="117" t="s">
        <v>363</v>
      </c>
      <c r="H15" s="118">
        <f>SUM(I15:M15)</f>
        <v>736083.04</v>
      </c>
      <c r="I15" s="122"/>
      <c r="J15" s="115"/>
      <c r="K15" s="119"/>
      <c r="L15" s="123"/>
      <c r="M15" s="118">
        <f>673583.04+62500</f>
        <v>736083.04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521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3" customFormat="1" ht="23.25" customHeight="1">
      <c r="A17" s="169" t="s">
        <v>367</v>
      </c>
      <c r="B17" s="157">
        <v>120</v>
      </c>
      <c r="C17" s="157">
        <v>130</v>
      </c>
      <c r="D17" s="170" t="s">
        <v>521</v>
      </c>
      <c r="E17" s="157"/>
      <c r="F17" s="157">
        <v>130</v>
      </c>
      <c r="G17" s="171" t="s">
        <v>363</v>
      </c>
      <c r="H17" s="181">
        <f>I17+L17+M17+N17</f>
        <v>59519609.79</v>
      </c>
      <c r="I17" s="181">
        <f>I22+I24+I26+I27+I28+I29+I30+I38+I40+I23+I25+I19+I20+I18+I39+I41</f>
        <v>46600575.79</v>
      </c>
      <c r="J17" s="157" t="s">
        <v>74</v>
      </c>
      <c r="K17" s="157" t="s">
        <v>74</v>
      </c>
      <c r="L17" s="181">
        <f>L18+L20+L22+L26+L28+L30+L31+L32+L33+L34+L35+L36+L37+L38+L40+L42+L45+L46</f>
        <v>0</v>
      </c>
      <c r="M17" s="181">
        <f>M18+M20+M22+M26+M28+M30+M31+M32+M33+M34+M35+M36+M37+M38+M40+M42+M45+M46+M21+M47+M43+M48+M44</f>
        <v>12919034</v>
      </c>
      <c r="N17" s="181">
        <f>N18+N20+N22+N26+N28+N30+N31+N32+N33+N34+N35+N36+N37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522</v>
      </c>
      <c r="E18" s="115"/>
      <c r="F18" s="115">
        <v>131</v>
      </c>
      <c r="G18" s="180" t="s">
        <v>524</v>
      </c>
      <c r="H18" s="125">
        <f aca="true" t="shared" si="0" ref="H18:H48">I18+J18+K18+L18+M18</f>
        <v>983705.2</v>
      </c>
      <c r="I18" s="160">
        <v>983705.2</v>
      </c>
      <c r="J18" s="125">
        <v>0</v>
      </c>
      <c r="K18" s="112"/>
      <c r="L18" s="111"/>
      <c r="M18" s="125">
        <v>0</v>
      </c>
      <c r="N18" s="125"/>
    </row>
    <row r="19" spans="1:14" s="107" customFormat="1" ht="27.75" customHeight="1">
      <c r="A19" s="124" t="s">
        <v>342</v>
      </c>
      <c r="B19" s="115"/>
      <c r="C19" s="115">
        <v>131</v>
      </c>
      <c r="D19" s="116" t="s">
        <v>522</v>
      </c>
      <c r="E19" s="115"/>
      <c r="F19" s="115">
        <v>131</v>
      </c>
      <c r="G19" s="180" t="s">
        <v>525</v>
      </c>
      <c r="H19" s="125">
        <f>I19+J19+K19+L19+M19</f>
        <v>9933442.47</v>
      </c>
      <c r="I19" s="160">
        <f>10917147.67-I18</f>
        <v>9933442.47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522</v>
      </c>
      <c r="E20" s="115"/>
      <c r="F20" s="115">
        <v>131</v>
      </c>
      <c r="G20" s="180" t="s">
        <v>524</v>
      </c>
      <c r="H20" s="125">
        <f t="shared" si="0"/>
        <v>1538941.79</v>
      </c>
      <c r="I20" s="160">
        <v>1538941.79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521</v>
      </c>
      <c r="E21" s="115"/>
      <c r="F21" s="115">
        <v>131</v>
      </c>
      <c r="G21" s="117" t="s">
        <v>363</v>
      </c>
      <c r="H21" s="118">
        <f t="shared" si="0"/>
        <v>2710000</v>
      </c>
      <c r="I21" s="118">
        <v>0</v>
      </c>
      <c r="J21" s="118">
        <v>0</v>
      </c>
      <c r="K21" s="119"/>
      <c r="L21" s="123"/>
      <c r="M21" s="159">
        <v>2710000</v>
      </c>
      <c r="N21" s="118"/>
    </row>
    <row r="22" spans="1:14" s="107" customFormat="1" ht="39" customHeight="1">
      <c r="A22" s="484" t="s">
        <v>344</v>
      </c>
      <c r="B22" s="109"/>
      <c r="C22" s="109">
        <v>131</v>
      </c>
      <c r="D22" s="116" t="s">
        <v>522</v>
      </c>
      <c r="E22" s="109"/>
      <c r="F22" s="109">
        <v>131</v>
      </c>
      <c r="G22" s="102" t="s">
        <v>526</v>
      </c>
      <c r="H22" s="125">
        <f t="shared" si="0"/>
        <v>9242511.84</v>
      </c>
      <c r="I22" s="125">
        <f>9242511.84-2306830.51+2306830.51</f>
        <v>9242511.84</v>
      </c>
      <c r="J22" s="125"/>
      <c r="K22" s="112"/>
      <c r="L22" s="111"/>
      <c r="M22" s="125"/>
      <c r="N22" s="125"/>
    </row>
    <row r="23" spans="1:14" s="107" customFormat="1" ht="39" customHeight="1" hidden="1">
      <c r="A23" s="484" t="s">
        <v>344</v>
      </c>
      <c r="B23" s="109"/>
      <c r="C23" s="109">
        <v>131</v>
      </c>
      <c r="D23" s="116" t="s">
        <v>522</v>
      </c>
      <c r="E23" s="109"/>
      <c r="F23" s="109">
        <v>131</v>
      </c>
      <c r="G23" s="102" t="s">
        <v>526</v>
      </c>
      <c r="H23" s="125">
        <f t="shared" si="0"/>
        <v>0</v>
      </c>
      <c r="I23" s="160"/>
      <c r="J23" s="125"/>
      <c r="K23" s="112"/>
      <c r="L23" s="111"/>
      <c r="M23" s="125"/>
      <c r="N23" s="125"/>
    </row>
    <row r="24" spans="1:14" s="107" customFormat="1" ht="39" customHeight="1">
      <c r="A24" s="108" t="s">
        <v>344</v>
      </c>
      <c r="B24" s="109"/>
      <c r="C24" s="109">
        <v>131</v>
      </c>
      <c r="D24" s="116" t="s">
        <v>522</v>
      </c>
      <c r="E24" s="109"/>
      <c r="F24" s="109">
        <v>131</v>
      </c>
      <c r="G24" s="102" t="s">
        <v>527</v>
      </c>
      <c r="H24" s="125">
        <f t="shared" si="0"/>
        <v>2160755</v>
      </c>
      <c r="I24" s="125">
        <f>2160755-476344.28+476344.28</f>
        <v>2160755</v>
      </c>
      <c r="J24" s="125"/>
      <c r="K24" s="112"/>
      <c r="L24" s="111"/>
      <c r="M24" s="125"/>
      <c r="N24" s="125"/>
    </row>
    <row r="25" spans="1:14" s="107" customFormat="1" ht="39" customHeight="1" hidden="1">
      <c r="A25" s="108" t="s">
        <v>344</v>
      </c>
      <c r="B25" s="109"/>
      <c r="C25" s="109">
        <v>131</v>
      </c>
      <c r="D25" s="116" t="s">
        <v>522</v>
      </c>
      <c r="E25" s="109"/>
      <c r="F25" s="109">
        <v>131</v>
      </c>
      <c r="G25" s="102" t="s">
        <v>527</v>
      </c>
      <c r="H25" s="125">
        <f t="shared" si="0"/>
        <v>0</v>
      </c>
      <c r="I25" s="160"/>
      <c r="J25" s="125"/>
      <c r="K25" s="112"/>
      <c r="L25" s="111"/>
      <c r="M25" s="125"/>
      <c r="N25" s="125"/>
    </row>
    <row r="26" spans="1:14" s="107" customFormat="1" ht="40.5" customHeight="1">
      <c r="A26" s="484" t="s">
        <v>345</v>
      </c>
      <c r="B26" s="109"/>
      <c r="C26" s="109">
        <v>131</v>
      </c>
      <c r="D26" s="116" t="s">
        <v>522</v>
      </c>
      <c r="E26" s="109"/>
      <c r="F26" s="109">
        <v>131</v>
      </c>
      <c r="G26" s="102" t="s">
        <v>526</v>
      </c>
      <c r="H26" s="125">
        <f t="shared" si="0"/>
        <v>11154833.07</v>
      </c>
      <c r="I26" s="125">
        <f>12754448.31-I27</f>
        <v>11154833.07</v>
      </c>
      <c r="J26" s="125"/>
      <c r="K26" s="112"/>
      <c r="L26" s="111"/>
      <c r="M26" s="125"/>
      <c r="N26" s="125"/>
    </row>
    <row r="27" spans="1:14" s="107" customFormat="1" ht="41.25" customHeight="1">
      <c r="A27" s="108" t="s">
        <v>345</v>
      </c>
      <c r="B27" s="109"/>
      <c r="C27" s="109">
        <v>131</v>
      </c>
      <c r="D27" s="116" t="s">
        <v>522</v>
      </c>
      <c r="E27" s="109"/>
      <c r="F27" s="109">
        <v>131</v>
      </c>
      <c r="G27" s="102" t="s">
        <v>527</v>
      </c>
      <c r="H27" s="125">
        <f>I27+J27+K27+L27+M27</f>
        <v>1599615.24</v>
      </c>
      <c r="I27" s="125">
        <v>1599615.24</v>
      </c>
      <c r="J27" s="125"/>
      <c r="K27" s="112"/>
      <c r="L27" s="111"/>
      <c r="M27" s="125"/>
      <c r="N27" s="125"/>
    </row>
    <row r="28" spans="1:14" s="107" customFormat="1" ht="41.25" customHeight="1">
      <c r="A28" s="108" t="s">
        <v>346</v>
      </c>
      <c r="B28" s="109"/>
      <c r="C28" s="109">
        <v>131</v>
      </c>
      <c r="D28" s="116" t="s">
        <v>522</v>
      </c>
      <c r="E28" s="109"/>
      <c r="F28" s="109">
        <v>131</v>
      </c>
      <c r="G28" s="102" t="s">
        <v>526</v>
      </c>
      <c r="H28" s="125">
        <f t="shared" si="0"/>
        <v>3993904.2</v>
      </c>
      <c r="I28" s="125">
        <f>4535670.21-I29</f>
        <v>3993904.2</v>
      </c>
      <c r="J28" s="125"/>
      <c r="K28" s="112"/>
      <c r="L28" s="111"/>
      <c r="M28" s="125"/>
      <c r="N28" s="125"/>
    </row>
    <row r="29" spans="1:14" s="107" customFormat="1" ht="37.5" customHeight="1">
      <c r="A29" s="108" t="s">
        <v>346</v>
      </c>
      <c r="B29" s="109"/>
      <c r="C29" s="109">
        <v>131</v>
      </c>
      <c r="D29" s="116" t="s">
        <v>522</v>
      </c>
      <c r="E29" s="109"/>
      <c r="F29" s="109">
        <v>131</v>
      </c>
      <c r="G29" s="102" t="s">
        <v>527</v>
      </c>
      <c r="H29" s="125">
        <f>I29+J29+K29+L29+M29</f>
        <v>541766.01</v>
      </c>
      <c r="I29" s="125">
        <v>541766.01</v>
      </c>
      <c r="J29" s="125"/>
      <c r="K29" s="112"/>
      <c r="L29" s="111"/>
      <c r="M29" s="125"/>
      <c r="N29" s="125"/>
    </row>
    <row r="30" spans="1:14" s="107" customFormat="1" ht="12" customHeight="1">
      <c r="A30" s="108" t="s">
        <v>800</v>
      </c>
      <c r="B30" s="109"/>
      <c r="C30" s="109">
        <v>131</v>
      </c>
      <c r="D30" s="116" t="s">
        <v>522</v>
      </c>
      <c r="E30" s="109"/>
      <c r="F30" s="109">
        <v>131</v>
      </c>
      <c r="G30" s="81" t="s">
        <v>470</v>
      </c>
      <c r="H30" s="125">
        <f t="shared" si="0"/>
        <v>312180</v>
      </c>
      <c r="I30" s="125">
        <v>312180</v>
      </c>
      <c r="J30" s="125"/>
      <c r="K30" s="112"/>
      <c r="L30" s="111"/>
      <c r="M30" s="125"/>
      <c r="N30" s="125"/>
    </row>
    <row r="31" spans="1:14" s="107" customFormat="1" ht="27.75" customHeight="1">
      <c r="A31" s="126" t="s">
        <v>517</v>
      </c>
      <c r="B31" s="109"/>
      <c r="C31" s="109">
        <v>131</v>
      </c>
      <c r="D31" s="116" t="s">
        <v>522</v>
      </c>
      <c r="E31" s="109"/>
      <c r="F31" s="109">
        <v>131</v>
      </c>
      <c r="G31" s="110"/>
      <c r="H31" s="125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76.5">
      <c r="A32" s="108" t="s">
        <v>348</v>
      </c>
      <c r="B32" s="109"/>
      <c r="C32" s="109">
        <v>131</v>
      </c>
      <c r="D32" s="116" t="s">
        <v>522</v>
      </c>
      <c r="E32" s="109"/>
      <c r="F32" s="109">
        <v>131</v>
      </c>
      <c r="G32" s="110"/>
      <c r="H32" s="125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51">
      <c r="A33" s="114" t="s">
        <v>349</v>
      </c>
      <c r="B33" s="115"/>
      <c r="C33" s="115">
        <v>131</v>
      </c>
      <c r="D33" s="116" t="s">
        <v>522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51">
      <c r="A34" s="127" t="s">
        <v>350</v>
      </c>
      <c r="B34" s="115"/>
      <c r="C34" s="115">
        <v>131</v>
      </c>
      <c r="D34" s="116" t="s">
        <v>522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43.5" customHeight="1">
      <c r="A35" s="114" t="s">
        <v>351</v>
      </c>
      <c r="B35" s="115"/>
      <c r="C35" s="115">
        <v>131</v>
      </c>
      <c r="D35" s="116" t="s">
        <v>522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33" customHeight="1">
      <c r="A36" s="114" t="s">
        <v>352</v>
      </c>
      <c r="B36" s="115"/>
      <c r="C36" s="115">
        <v>131</v>
      </c>
      <c r="D36" s="116" t="s">
        <v>522</v>
      </c>
      <c r="E36" s="115"/>
      <c r="F36" s="115">
        <v>131</v>
      </c>
      <c r="G36" s="122"/>
      <c r="H36" s="118">
        <f t="shared" si="0"/>
        <v>0</v>
      </c>
      <c r="I36" s="125">
        <v>0</v>
      </c>
      <c r="J36" s="125"/>
      <c r="K36" s="112"/>
      <c r="L36" s="111"/>
      <c r="M36" s="125"/>
      <c r="N36" s="125"/>
    </row>
    <row r="37" spans="1:14" s="107" customFormat="1" ht="33.75" customHeight="1">
      <c r="A37" s="114" t="s">
        <v>353</v>
      </c>
      <c r="B37" s="115"/>
      <c r="C37" s="115">
        <v>131</v>
      </c>
      <c r="D37" s="116" t="s">
        <v>522</v>
      </c>
      <c r="E37" s="115"/>
      <c r="F37" s="115">
        <v>131</v>
      </c>
      <c r="G37" s="122"/>
      <c r="H37" s="118">
        <f t="shared" si="0"/>
        <v>0</v>
      </c>
      <c r="I37" s="125">
        <v>0</v>
      </c>
      <c r="J37" s="125"/>
      <c r="K37" s="112"/>
      <c r="L37" s="111"/>
      <c r="M37" s="125"/>
      <c r="N37" s="125"/>
    </row>
    <row r="38" spans="1:14" s="107" customFormat="1" ht="25.5">
      <c r="A38" s="114" t="s">
        <v>51</v>
      </c>
      <c r="B38" s="115"/>
      <c r="C38" s="115">
        <v>131</v>
      </c>
      <c r="D38" s="116" t="s">
        <v>522</v>
      </c>
      <c r="E38" s="115"/>
      <c r="F38" s="115">
        <v>131</v>
      </c>
      <c r="G38" s="102" t="s">
        <v>527</v>
      </c>
      <c r="H38" s="118">
        <f t="shared" si="0"/>
        <v>1097033.97</v>
      </c>
      <c r="I38" s="125">
        <f>805176-15436.03+307294</f>
        <v>1097033.97</v>
      </c>
      <c r="J38" s="125"/>
      <c r="K38" s="112"/>
      <c r="L38" s="111"/>
      <c r="M38" s="125"/>
      <c r="N38" s="125"/>
    </row>
    <row r="39" spans="1:14" s="107" customFormat="1" ht="25.5" hidden="1">
      <c r="A39" s="114" t="s">
        <v>51</v>
      </c>
      <c r="B39" s="115"/>
      <c r="C39" s="115">
        <v>131</v>
      </c>
      <c r="D39" s="116" t="s">
        <v>522</v>
      </c>
      <c r="E39" s="115"/>
      <c r="F39" s="115">
        <v>131</v>
      </c>
      <c r="G39" s="102" t="s">
        <v>527</v>
      </c>
      <c r="H39" s="118">
        <f t="shared" si="0"/>
        <v>0</v>
      </c>
      <c r="I39" s="486"/>
      <c r="J39" s="125"/>
      <c r="K39" s="112"/>
      <c r="L39" s="111"/>
      <c r="M39" s="125"/>
      <c r="N39" s="125"/>
    </row>
    <row r="40" spans="1:14" s="107" customFormat="1" ht="15.75" customHeight="1">
      <c r="A40" s="114" t="s">
        <v>52</v>
      </c>
      <c r="B40" s="115"/>
      <c r="C40" s="115">
        <v>131</v>
      </c>
      <c r="D40" s="116" t="s">
        <v>522</v>
      </c>
      <c r="E40" s="115"/>
      <c r="F40" s="115">
        <v>131</v>
      </c>
      <c r="G40" s="102" t="s">
        <v>527</v>
      </c>
      <c r="H40" s="118">
        <f t="shared" si="0"/>
        <v>4041887</v>
      </c>
      <c r="I40" s="125">
        <f>2959713+1082174</f>
        <v>4041887</v>
      </c>
      <c r="J40" s="125"/>
      <c r="K40" s="112"/>
      <c r="L40" s="111"/>
      <c r="M40" s="125"/>
      <c r="N40" s="125"/>
    </row>
    <row r="41" spans="1:14" s="107" customFormat="1" ht="15.75" customHeight="1" hidden="1">
      <c r="A41" s="114" t="s">
        <v>52</v>
      </c>
      <c r="B41" s="115"/>
      <c r="C41" s="115">
        <v>131</v>
      </c>
      <c r="D41" s="116" t="s">
        <v>522</v>
      </c>
      <c r="E41" s="115"/>
      <c r="F41" s="115">
        <v>131</v>
      </c>
      <c r="G41" s="102" t="s">
        <v>527</v>
      </c>
      <c r="H41" s="118">
        <f t="shared" si="0"/>
        <v>0</v>
      </c>
      <c r="I41" s="160"/>
      <c r="J41" s="125"/>
      <c r="K41" s="112"/>
      <c r="L41" s="111"/>
      <c r="M41" s="125"/>
      <c r="N41" s="125"/>
    </row>
    <row r="42" spans="1:14" s="128" customFormat="1" ht="15.75" customHeight="1">
      <c r="A42" s="114" t="s">
        <v>46</v>
      </c>
      <c r="B42" s="115"/>
      <c r="C42" s="115">
        <v>131</v>
      </c>
      <c r="D42" s="116" t="s">
        <v>521</v>
      </c>
      <c r="E42" s="115"/>
      <c r="F42" s="115">
        <v>131</v>
      </c>
      <c r="G42" s="117" t="s">
        <v>363</v>
      </c>
      <c r="H42" s="118">
        <f t="shared" si="0"/>
        <v>7945034</v>
      </c>
      <c r="I42" s="118"/>
      <c r="J42" s="118"/>
      <c r="K42" s="119"/>
      <c r="L42" s="123"/>
      <c r="M42" s="118">
        <f>5661000+1441000+692000+50000+62140-11106+50000</f>
        <v>7945034</v>
      </c>
      <c r="N42" s="118"/>
    </row>
    <row r="43" spans="1:14" s="128" customFormat="1" ht="15.75" customHeight="1" hidden="1">
      <c r="A43" s="114" t="s">
        <v>46</v>
      </c>
      <c r="B43" s="115"/>
      <c r="C43" s="115">
        <v>131</v>
      </c>
      <c r="D43" s="116" t="s">
        <v>521</v>
      </c>
      <c r="E43" s="115"/>
      <c r="F43" s="115">
        <v>131</v>
      </c>
      <c r="G43" s="117" t="s">
        <v>363</v>
      </c>
      <c r="H43" s="118">
        <f>I43+J43+K43+L43+M43</f>
        <v>0</v>
      </c>
      <c r="I43" s="118"/>
      <c r="J43" s="118"/>
      <c r="K43" s="119"/>
      <c r="L43" s="123"/>
      <c r="M43" s="159"/>
      <c r="N43" s="118"/>
    </row>
    <row r="44" spans="1:14" s="128" customFormat="1" ht="15.75" customHeight="1" hidden="1">
      <c r="A44" s="114" t="s">
        <v>48</v>
      </c>
      <c r="B44" s="115"/>
      <c r="C44" s="115">
        <v>131</v>
      </c>
      <c r="D44" s="116" t="s">
        <v>521</v>
      </c>
      <c r="E44" s="115"/>
      <c r="F44" s="115">
        <v>131</v>
      </c>
      <c r="G44" s="117" t="s">
        <v>363</v>
      </c>
      <c r="H44" s="118">
        <f>I44+J44+K44+L44+M44</f>
        <v>0</v>
      </c>
      <c r="I44" s="118"/>
      <c r="J44" s="118"/>
      <c r="K44" s="119"/>
      <c r="L44" s="123"/>
      <c r="M44" s="159"/>
      <c r="N44" s="118"/>
    </row>
    <row r="45" spans="1:14" s="128" customFormat="1" ht="15.75" customHeight="1">
      <c r="A45" s="114" t="s">
        <v>48</v>
      </c>
      <c r="B45" s="115"/>
      <c r="C45" s="115">
        <v>131</v>
      </c>
      <c r="D45" s="116" t="s">
        <v>521</v>
      </c>
      <c r="E45" s="115"/>
      <c r="F45" s="115">
        <v>131</v>
      </c>
      <c r="G45" s="117" t="s">
        <v>363</v>
      </c>
      <c r="H45" s="118">
        <f>I45+J45+K45+L45+M45</f>
        <v>1900000</v>
      </c>
      <c r="I45" s="118"/>
      <c r="J45" s="118"/>
      <c r="K45" s="119"/>
      <c r="L45" s="123"/>
      <c r="M45" s="159">
        <f>1770000+120000+10000</f>
        <v>1900000</v>
      </c>
      <c r="N45" s="118"/>
    </row>
    <row r="46" spans="1:14" s="128" customFormat="1" ht="15.75" customHeight="1">
      <c r="A46" s="114" t="s">
        <v>368</v>
      </c>
      <c r="B46" s="115"/>
      <c r="C46" s="115">
        <v>134</v>
      </c>
      <c r="D46" s="116" t="s">
        <v>521</v>
      </c>
      <c r="E46" s="115"/>
      <c r="F46" s="115">
        <v>134</v>
      </c>
      <c r="G46" s="117" t="s">
        <v>363</v>
      </c>
      <c r="H46" s="118">
        <f t="shared" si="0"/>
        <v>0</v>
      </c>
      <c r="I46" s="118"/>
      <c r="J46" s="118"/>
      <c r="K46" s="119"/>
      <c r="L46" s="123"/>
      <c r="M46" s="118"/>
      <c r="N46" s="118"/>
    </row>
    <row r="47" spans="1:14" s="128" customFormat="1" ht="21.75" customHeight="1">
      <c r="A47" s="114" t="s">
        <v>47</v>
      </c>
      <c r="B47" s="115"/>
      <c r="C47" s="115">
        <v>135</v>
      </c>
      <c r="D47" s="116" t="s">
        <v>521</v>
      </c>
      <c r="E47" s="115"/>
      <c r="F47" s="115">
        <v>135</v>
      </c>
      <c r="G47" s="117" t="s">
        <v>363</v>
      </c>
      <c r="H47" s="118">
        <f t="shared" si="0"/>
        <v>364000</v>
      </c>
      <c r="I47" s="118"/>
      <c r="J47" s="118"/>
      <c r="K47" s="119"/>
      <c r="L47" s="123"/>
      <c r="M47" s="118">
        <f>357000+7000</f>
        <v>364000</v>
      </c>
      <c r="N47" s="118"/>
    </row>
    <row r="48" spans="1:14" s="128" customFormat="1" ht="21.75" customHeight="1">
      <c r="A48" s="114" t="s">
        <v>47</v>
      </c>
      <c r="B48" s="487"/>
      <c r="C48" s="489">
        <v>135</v>
      </c>
      <c r="D48" s="488" t="s">
        <v>521</v>
      </c>
      <c r="E48" s="489"/>
      <c r="F48" s="489">
        <v>135</v>
      </c>
      <c r="G48" s="492" t="s">
        <v>363</v>
      </c>
      <c r="H48" s="491">
        <f t="shared" si="0"/>
        <v>0</v>
      </c>
      <c r="I48" s="491">
        <v>0</v>
      </c>
      <c r="J48" s="491">
        <v>0</v>
      </c>
      <c r="K48" s="507">
        <v>0</v>
      </c>
      <c r="L48" s="508">
        <v>0</v>
      </c>
      <c r="M48" s="495"/>
      <c r="N48" s="118"/>
    </row>
    <row r="49" spans="1:14" s="134" customFormat="1" ht="27.75" customHeight="1">
      <c r="A49" s="129" t="s">
        <v>432</v>
      </c>
      <c r="B49" s="130">
        <v>130</v>
      </c>
      <c r="C49" s="130">
        <v>140</v>
      </c>
      <c r="D49" s="116" t="s">
        <v>521</v>
      </c>
      <c r="E49" s="130"/>
      <c r="F49" s="130">
        <v>140</v>
      </c>
      <c r="G49" s="131" t="s">
        <v>363</v>
      </c>
      <c r="H49" s="132">
        <f>M49</f>
        <v>0</v>
      </c>
      <c r="I49" s="130" t="s">
        <v>74</v>
      </c>
      <c r="J49" s="130" t="s">
        <v>74</v>
      </c>
      <c r="K49" s="130" t="s">
        <v>74</v>
      </c>
      <c r="L49" s="130" t="s">
        <v>74</v>
      </c>
      <c r="M49" s="133">
        <f>M51+M52+M53+M54+M55</f>
        <v>0</v>
      </c>
      <c r="N49" s="130" t="s">
        <v>74</v>
      </c>
    </row>
    <row r="50" spans="1:14" s="128" customFormat="1" ht="12.75">
      <c r="A50" s="114" t="s">
        <v>364</v>
      </c>
      <c r="B50" s="115"/>
      <c r="C50" s="115"/>
      <c r="D50" s="116"/>
      <c r="E50" s="115"/>
      <c r="F50" s="115"/>
      <c r="G50" s="122"/>
      <c r="H50" s="118"/>
      <c r="I50" s="122"/>
      <c r="J50" s="115"/>
      <c r="K50" s="119"/>
      <c r="L50" s="123"/>
      <c r="M50" s="118"/>
      <c r="N50" s="123"/>
    </row>
    <row r="51" spans="1:14" s="128" customFormat="1" ht="38.25">
      <c r="A51" s="114" t="s">
        <v>369</v>
      </c>
      <c r="B51" s="115"/>
      <c r="C51" s="115">
        <v>141</v>
      </c>
      <c r="D51" s="116" t="s">
        <v>521</v>
      </c>
      <c r="E51" s="115"/>
      <c r="F51" s="115">
        <v>141</v>
      </c>
      <c r="G51" s="117" t="s">
        <v>363</v>
      </c>
      <c r="H51" s="118">
        <f>I51+J51+K51+L51+M51</f>
        <v>0</v>
      </c>
      <c r="I51" s="122"/>
      <c r="J51" s="115"/>
      <c r="K51" s="119"/>
      <c r="L51" s="123"/>
      <c r="M51" s="118"/>
      <c r="N51" s="123"/>
    </row>
    <row r="52" spans="1:14" s="128" customFormat="1" ht="25.5">
      <c r="A52" s="114" t="s">
        <v>370</v>
      </c>
      <c r="B52" s="115"/>
      <c r="C52" s="115">
        <v>142</v>
      </c>
      <c r="D52" s="116" t="s">
        <v>521</v>
      </c>
      <c r="E52" s="115"/>
      <c r="F52" s="115">
        <v>142</v>
      </c>
      <c r="G52" s="117" t="s">
        <v>363</v>
      </c>
      <c r="H52" s="118">
        <f>I52+J52+K52+L52+M52</f>
        <v>0</v>
      </c>
      <c r="I52" s="122"/>
      <c r="J52" s="115"/>
      <c r="K52" s="119"/>
      <c r="L52" s="123"/>
      <c r="M52" s="118"/>
      <c r="N52" s="123"/>
    </row>
    <row r="53" spans="1:14" s="128" customFormat="1" ht="15" customHeight="1">
      <c r="A53" s="114" t="s">
        <v>371</v>
      </c>
      <c r="B53" s="115"/>
      <c r="C53" s="115">
        <v>143</v>
      </c>
      <c r="D53" s="116" t="s">
        <v>521</v>
      </c>
      <c r="E53" s="115"/>
      <c r="F53" s="115">
        <v>143</v>
      </c>
      <c r="G53" s="117" t="s">
        <v>363</v>
      </c>
      <c r="H53" s="118">
        <f>I53+J53+K53+L53+M53</f>
        <v>0</v>
      </c>
      <c r="I53" s="122"/>
      <c r="J53" s="115"/>
      <c r="K53" s="119"/>
      <c r="L53" s="123"/>
      <c r="M53" s="118"/>
      <c r="N53" s="123"/>
    </row>
    <row r="54" spans="1:14" s="128" customFormat="1" ht="15" customHeight="1">
      <c r="A54" s="114" t="s">
        <v>372</v>
      </c>
      <c r="B54" s="115"/>
      <c r="C54" s="115">
        <v>144</v>
      </c>
      <c r="D54" s="116" t="s">
        <v>521</v>
      </c>
      <c r="E54" s="115"/>
      <c r="F54" s="115">
        <v>144</v>
      </c>
      <c r="G54" s="117" t="s">
        <v>363</v>
      </c>
      <c r="H54" s="118">
        <f>I54+J54+K54+L54+M54</f>
        <v>0</v>
      </c>
      <c r="I54" s="122"/>
      <c r="J54" s="115"/>
      <c r="K54" s="119"/>
      <c r="L54" s="123"/>
      <c r="M54" s="118"/>
      <c r="N54" s="123"/>
    </row>
    <row r="55" spans="1:14" s="128" customFormat="1" ht="15" customHeight="1">
      <c r="A55" s="114" t="s">
        <v>373</v>
      </c>
      <c r="B55" s="115"/>
      <c r="C55" s="115">
        <v>145</v>
      </c>
      <c r="D55" s="116" t="s">
        <v>521</v>
      </c>
      <c r="E55" s="115"/>
      <c r="F55" s="115">
        <v>145</v>
      </c>
      <c r="G55" s="117" t="s">
        <v>363</v>
      </c>
      <c r="H55" s="118">
        <f>I55+J55+K55+L55+M55</f>
        <v>0</v>
      </c>
      <c r="I55" s="122"/>
      <c r="J55" s="115"/>
      <c r="K55" s="119"/>
      <c r="L55" s="123"/>
      <c r="M55" s="118"/>
      <c r="N55" s="123"/>
    </row>
    <row r="56" spans="1:14" s="107" customFormat="1" ht="47.25" customHeight="1">
      <c r="A56" s="114" t="s">
        <v>49</v>
      </c>
      <c r="B56" s="115">
        <v>140</v>
      </c>
      <c r="C56" s="115"/>
      <c r="D56" s="116" t="s">
        <v>521</v>
      </c>
      <c r="E56" s="115"/>
      <c r="F56" s="115"/>
      <c r="G56" s="122"/>
      <c r="H56" s="118">
        <f>M56</f>
        <v>0</v>
      </c>
      <c r="I56" s="109" t="s">
        <v>74</v>
      </c>
      <c r="J56" s="109" t="s">
        <v>74</v>
      </c>
      <c r="K56" s="109" t="s">
        <v>74</v>
      </c>
      <c r="L56" s="109" t="s">
        <v>74</v>
      </c>
      <c r="M56" s="109"/>
      <c r="N56" s="109" t="s">
        <v>74</v>
      </c>
    </row>
    <row r="57" spans="1:14" s="168" customFormat="1" ht="33" customHeight="1">
      <c r="A57" s="169" t="s">
        <v>167</v>
      </c>
      <c r="B57" s="157">
        <v>150</v>
      </c>
      <c r="C57" s="157">
        <v>150</v>
      </c>
      <c r="D57" s="157">
        <v>901000000</v>
      </c>
      <c r="E57" s="157"/>
      <c r="F57" s="157">
        <v>150</v>
      </c>
      <c r="G57" s="158"/>
      <c r="H57" s="181">
        <f aca="true" t="shared" si="1" ref="H57:H84">J57+K57</f>
        <v>6052040.52</v>
      </c>
      <c r="I57" s="174" t="s">
        <v>74</v>
      </c>
      <c r="J57" s="175">
        <f>SUM(J58:L83)</f>
        <v>6052040.52</v>
      </c>
      <c r="K57" s="174">
        <f>K59</f>
        <v>0</v>
      </c>
      <c r="L57" s="174" t="s">
        <v>74</v>
      </c>
      <c r="M57" s="174" t="s">
        <v>74</v>
      </c>
      <c r="N57" s="174" t="s">
        <v>74</v>
      </c>
    </row>
    <row r="58" spans="1:14" s="168" customFormat="1" ht="25.5">
      <c r="A58" s="114" t="s">
        <v>167</v>
      </c>
      <c r="B58" s="115">
        <v>150</v>
      </c>
      <c r="C58" s="115">
        <v>152</v>
      </c>
      <c r="D58" s="115">
        <v>901010000</v>
      </c>
      <c r="E58" s="115"/>
      <c r="F58" s="115">
        <v>152</v>
      </c>
      <c r="G58" s="122">
        <v>91600000000</v>
      </c>
      <c r="H58" s="181"/>
      <c r="I58" s="125"/>
      <c r="J58" s="125">
        <v>10000</v>
      </c>
      <c r="K58" s="174"/>
      <c r="L58" s="174"/>
      <c r="M58" s="109" t="s">
        <v>74</v>
      </c>
      <c r="N58" s="109" t="s">
        <v>74</v>
      </c>
    </row>
    <row r="59" spans="1:14" s="107" customFormat="1" ht="23.25" customHeight="1">
      <c r="A59" s="114" t="s">
        <v>167</v>
      </c>
      <c r="B59" s="115">
        <v>150</v>
      </c>
      <c r="C59" s="115">
        <v>152</v>
      </c>
      <c r="D59" s="115">
        <v>901480000</v>
      </c>
      <c r="E59" s="115"/>
      <c r="F59" s="115">
        <v>152</v>
      </c>
      <c r="G59" s="122" t="s">
        <v>526</v>
      </c>
      <c r="H59" s="118">
        <f t="shared" si="1"/>
        <v>2246150</v>
      </c>
      <c r="I59" s="109"/>
      <c r="J59" s="125">
        <f>1781767+364383+100000</f>
        <v>2246150</v>
      </c>
      <c r="K59" s="112"/>
      <c r="L59" s="109" t="s">
        <v>74</v>
      </c>
      <c r="M59" s="109" t="s">
        <v>74</v>
      </c>
      <c r="N59" s="109" t="s">
        <v>74</v>
      </c>
    </row>
    <row r="60" spans="1:14" s="107" customFormat="1" ht="23.25" customHeight="1">
      <c r="A60" s="114" t="s">
        <v>167</v>
      </c>
      <c r="B60" s="115">
        <v>150</v>
      </c>
      <c r="C60" s="115">
        <v>152</v>
      </c>
      <c r="D60" s="115">
        <v>901160000</v>
      </c>
      <c r="E60" s="115"/>
      <c r="F60" s="115">
        <v>152</v>
      </c>
      <c r="G60" s="122" t="s">
        <v>526</v>
      </c>
      <c r="H60" s="118">
        <f t="shared" si="1"/>
        <v>1073719</v>
      </c>
      <c r="I60" s="109"/>
      <c r="J60" s="125">
        <f>949644+124075</f>
        <v>1073719</v>
      </c>
      <c r="K60" s="112"/>
      <c r="L60" s="109" t="s">
        <v>74</v>
      </c>
      <c r="M60" s="109" t="s">
        <v>74</v>
      </c>
      <c r="N60" s="109" t="s">
        <v>74</v>
      </c>
    </row>
    <row r="61" spans="1:14" s="107" customFormat="1" ht="23.25" customHeight="1">
      <c r="A61" s="114" t="s">
        <v>167</v>
      </c>
      <c r="B61" s="115">
        <v>150</v>
      </c>
      <c r="C61" s="115">
        <v>152</v>
      </c>
      <c r="D61" s="115">
        <v>901830000</v>
      </c>
      <c r="E61" s="115"/>
      <c r="F61" s="115">
        <v>152</v>
      </c>
      <c r="G61" s="122" t="s">
        <v>526</v>
      </c>
      <c r="H61" s="118">
        <f t="shared" si="1"/>
        <v>597147.9400000001</v>
      </c>
      <c r="I61" s="109"/>
      <c r="J61" s="125">
        <f>532435.56+64712.38</f>
        <v>597147.9400000001</v>
      </c>
      <c r="K61" s="112"/>
      <c r="L61" s="109" t="s">
        <v>74</v>
      </c>
      <c r="M61" s="109" t="s">
        <v>74</v>
      </c>
      <c r="N61" s="109" t="s">
        <v>74</v>
      </c>
    </row>
    <row r="62" spans="1:14" s="107" customFormat="1" ht="23.25" customHeight="1">
      <c r="A62" s="114" t="s">
        <v>167</v>
      </c>
      <c r="B62" s="115">
        <v>150</v>
      </c>
      <c r="C62" s="115">
        <v>152</v>
      </c>
      <c r="D62" s="115">
        <v>901210000</v>
      </c>
      <c r="E62" s="115"/>
      <c r="F62" s="115">
        <v>152</v>
      </c>
      <c r="G62" s="117" t="s">
        <v>528</v>
      </c>
      <c r="H62" s="118">
        <f t="shared" si="1"/>
        <v>982310</v>
      </c>
      <c r="I62" s="109"/>
      <c r="J62" s="125">
        <f>876777+105533</f>
        <v>982310</v>
      </c>
      <c r="K62" s="112"/>
      <c r="L62" s="109" t="s">
        <v>74</v>
      </c>
      <c r="M62" s="109" t="s">
        <v>74</v>
      </c>
      <c r="N62" s="109" t="s">
        <v>74</v>
      </c>
    </row>
    <row r="63" spans="1:14" s="107" customFormat="1" ht="23.25" customHeight="1">
      <c r="A63" s="114" t="s">
        <v>167</v>
      </c>
      <c r="B63" s="115">
        <v>150</v>
      </c>
      <c r="C63" s="115">
        <v>152</v>
      </c>
      <c r="D63" s="115">
        <v>901150000</v>
      </c>
      <c r="E63" s="115"/>
      <c r="F63" s="115">
        <v>152</v>
      </c>
      <c r="G63" s="122" t="s">
        <v>526</v>
      </c>
      <c r="H63" s="118">
        <f t="shared" si="1"/>
        <v>464088</v>
      </c>
      <c r="I63" s="109"/>
      <c r="J63" s="125">
        <f>396173+67915</f>
        <v>464088</v>
      </c>
      <c r="K63" s="112"/>
      <c r="L63" s="109" t="s">
        <v>74</v>
      </c>
      <c r="M63" s="109" t="s">
        <v>74</v>
      </c>
      <c r="N63" s="109" t="s">
        <v>74</v>
      </c>
    </row>
    <row r="64" spans="1:14" s="107" customFormat="1" ht="23.25" customHeight="1">
      <c r="A64" s="114" t="s">
        <v>167</v>
      </c>
      <c r="B64" s="115">
        <v>150</v>
      </c>
      <c r="C64" s="115">
        <v>152</v>
      </c>
      <c r="D64" s="115">
        <v>901170000</v>
      </c>
      <c r="E64" s="115"/>
      <c r="F64" s="115">
        <v>152</v>
      </c>
      <c r="G64" s="122" t="s">
        <v>538</v>
      </c>
      <c r="H64" s="118">
        <f>J64+K64</f>
        <v>90000</v>
      </c>
      <c r="I64" s="109"/>
      <c r="J64" s="125">
        <v>90000</v>
      </c>
      <c r="K64" s="112"/>
      <c r="L64" s="109" t="s">
        <v>74</v>
      </c>
      <c r="M64" s="109" t="s">
        <v>74</v>
      </c>
      <c r="N64" s="109" t="s">
        <v>74</v>
      </c>
    </row>
    <row r="65" spans="1:14" s="107" customFormat="1" ht="23.25" customHeight="1">
      <c r="A65" s="114" t="s">
        <v>167</v>
      </c>
      <c r="B65" s="115">
        <v>150</v>
      </c>
      <c r="C65" s="115">
        <v>152</v>
      </c>
      <c r="D65" s="115">
        <v>901140000</v>
      </c>
      <c r="E65" s="115"/>
      <c r="F65" s="115">
        <v>152</v>
      </c>
      <c r="G65" s="122" t="s">
        <v>526</v>
      </c>
      <c r="H65" s="118">
        <f t="shared" si="1"/>
        <v>225466</v>
      </c>
      <c r="I65" s="109"/>
      <c r="J65" s="125">
        <f>155008+13862+56596</f>
        <v>225466</v>
      </c>
      <c r="K65" s="112"/>
      <c r="L65" s="109" t="s">
        <v>74</v>
      </c>
      <c r="M65" s="109" t="s">
        <v>74</v>
      </c>
      <c r="N65" s="109" t="s">
        <v>74</v>
      </c>
    </row>
    <row r="66" spans="1:14" s="107" customFormat="1" ht="23.25" customHeight="1">
      <c r="A66" s="114" t="s">
        <v>167</v>
      </c>
      <c r="B66" s="115">
        <v>150</v>
      </c>
      <c r="C66" s="115">
        <v>152</v>
      </c>
      <c r="D66" s="115">
        <v>901030000</v>
      </c>
      <c r="E66" s="115"/>
      <c r="F66" s="115">
        <v>152</v>
      </c>
      <c r="G66" s="122" t="s">
        <v>839</v>
      </c>
      <c r="H66" s="118">
        <f t="shared" si="1"/>
        <v>18079.2</v>
      </c>
      <c r="I66" s="109"/>
      <c r="J66" s="125">
        <f>2*9039.6</f>
        <v>18079.2</v>
      </c>
      <c r="K66" s="112"/>
      <c r="L66" s="109"/>
      <c r="M66" s="110"/>
      <c r="N66" s="110"/>
    </row>
    <row r="67" spans="1:14" s="107" customFormat="1" ht="23.25" customHeight="1">
      <c r="A67" s="114" t="s">
        <v>167</v>
      </c>
      <c r="B67" s="115">
        <v>150</v>
      </c>
      <c r="C67" s="115">
        <v>152</v>
      </c>
      <c r="D67" s="115">
        <v>901490000</v>
      </c>
      <c r="E67" s="115"/>
      <c r="F67" s="115">
        <v>152</v>
      </c>
      <c r="G67" s="122" t="s">
        <v>841</v>
      </c>
      <c r="H67" s="118">
        <f t="shared" si="1"/>
        <v>24105.6</v>
      </c>
      <c r="I67" s="109"/>
      <c r="J67" s="125">
        <f>2*12052.8</f>
        <v>24105.6</v>
      </c>
      <c r="K67" s="112"/>
      <c r="L67" s="109"/>
      <c r="M67" s="110"/>
      <c r="N67" s="110"/>
    </row>
    <row r="68" spans="1:14" s="107" customFormat="1" ht="23.25" customHeight="1">
      <c r="A68" s="114" t="s">
        <v>167</v>
      </c>
      <c r="B68" s="115">
        <v>150</v>
      </c>
      <c r="C68" s="115">
        <v>152</v>
      </c>
      <c r="D68" s="116" t="s">
        <v>797</v>
      </c>
      <c r="E68" s="115"/>
      <c r="F68" s="115">
        <v>152</v>
      </c>
      <c r="G68" s="122" t="s">
        <v>799</v>
      </c>
      <c r="H68" s="118">
        <f t="shared" si="1"/>
        <v>1440</v>
      </c>
      <c r="I68" s="109"/>
      <c r="J68" s="125">
        <v>1440</v>
      </c>
      <c r="K68" s="112"/>
      <c r="L68" s="109"/>
      <c r="M68" s="110"/>
      <c r="N68" s="110"/>
    </row>
    <row r="69" spans="1:14" s="107" customFormat="1" ht="23.25" customHeight="1">
      <c r="A69" s="114" t="s">
        <v>167</v>
      </c>
      <c r="B69" s="115">
        <v>150</v>
      </c>
      <c r="C69" s="115">
        <v>152</v>
      </c>
      <c r="D69" s="115">
        <v>901870000</v>
      </c>
      <c r="E69" s="115"/>
      <c r="F69" s="115">
        <v>152</v>
      </c>
      <c r="G69" s="122" t="s">
        <v>799</v>
      </c>
      <c r="H69" s="118">
        <f t="shared" si="1"/>
        <v>12915</v>
      </c>
      <c r="I69" s="109"/>
      <c r="J69" s="125">
        <v>12915</v>
      </c>
      <c r="K69" s="112"/>
      <c r="L69" s="109"/>
      <c r="M69" s="110"/>
      <c r="N69" s="110"/>
    </row>
    <row r="70" spans="1:14" s="107" customFormat="1" ht="23.25" customHeight="1">
      <c r="A70" s="114" t="s">
        <v>167</v>
      </c>
      <c r="B70" s="115">
        <v>150</v>
      </c>
      <c r="C70" s="115">
        <v>152</v>
      </c>
      <c r="D70" s="115">
        <v>901270000</v>
      </c>
      <c r="E70" s="115"/>
      <c r="F70" s="115">
        <v>152</v>
      </c>
      <c r="G70" s="122" t="s">
        <v>801</v>
      </c>
      <c r="H70" s="118">
        <f t="shared" si="1"/>
        <v>18257.44</v>
      </c>
      <c r="I70" s="109"/>
      <c r="J70" s="125">
        <v>18257.44</v>
      </c>
      <c r="K70" s="112"/>
      <c r="L70" s="109"/>
      <c r="M70" s="110"/>
      <c r="N70" s="110"/>
    </row>
    <row r="71" spans="1:14" s="107" customFormat="1" ht="23.25" customHeight="1">
      <c r="A71" s="114" t="s">
        <v>167</v>
      </c>
      <c r="B71" s="115">
        <v>150</v>
      </c>
      <c r="C71" s="115">
        <v>152</v>
      </c>
      <c r="D71" s="115">
        <v>901370000</v>
      </c>
      <c r="E71" s="115"/>
      <c r="F71" s="115">
        <v>152</v>
      </c>
      <c r="G71" s="122">
        <v>91100221500</v>
      </c>
      <c r="H71" s="118">
        <f t="shared" si="1"/>
        <v>112000</v>
      </c>
      <c r="I71" s="109"/>
      <c r="J71" s="125">
        <f>2*56000</f>
        <v>112000</v>
      </c>
      <c r="K71" s="112"/>
      <c r="L71" s="109"/>
      <c r="M71" s="110"/>
      <c r="N71" s="110"/>
    </row>
    <row r="72" spans="1:14" s="107" customFormat="1" ht="23.25" customHeight="1" hidden="1">
      <c r="A72" s="114" t="s">
        <v>830</v>
      </c>
      <c r="B72" s="489"/>
      <c r="C72" s="489">
        <v>152</v>
      </c>
      <c r="D72" s="489">
        <v>901480000</v>
      </c>
      <c r="E72" s="489"/>
      <c r="F72" s="489">
        <v>152</v>
      </c>
      <c r="G72" s="500" t="s">
        <v>526</v>
      </c>
      <c r="H72" s="491">
        <f t="shared" si="1"/>
        <v>0</v>
      </c>
      <c r="I72" s="501">
        <v>0</v>
      </c>
      <c r="J72" s="486"/>
      <c r="K72" s="112"/>
      <c r="L72" s="109"/>
      <c r="M72" s="110"/>
      <c r="N72" s="110"/>
    </row>
    <row r="73" spans="1:14" s="107" customFormat="1" ht="23.25" customHeight="1" hidden="1">
      <c r="A73" s="114" t="s">
        <v>236</v>
      </c>
      <c r="B73" s="489"/>
      <c r="C73" s="489">
        <v>152</v>
      </c>
      <c r="D73" s="489">
        <v>901160000</v>
      </c>
      <c r="E73" s="489"/>
      <c r="F73" s="489">
        <v>152</v>
      </c>
      <c r="G73" s="500" t="s">
        <v>526</v>
      </c>
      <c r="H73" s="491">
        <f t="shared" si="1"/>
        <v>0</v>
      </c>
      <c r="I73" s="501">
        <v>0</v>
      </c>
      <c r="J73" s="486"/>
      <c r="K73" s="112"/>
      <c r="L73" s="109"/>
      <c r="M73" s="110"/>
      <c r="N73" s="110"/>
    </row>
    <row r="74" spans="1:14" s="107" customFormat="1" ht="23.25" customHeight="1" hidden="1">
      <c r="A74" s="114" t="s">
        <v>831</v>
      </c>
      <c r="B74" s="489"/>
      <c r="C74" s="489">
        <v>152</v>
      </c>
      <c r="D74" s="489">
        <v>901830000</v>
      </c>
      <c r="E74" s="489"/>
      <c r="F74" s="489">
        <v>152</v>
      </c>
      <c r="G74" s="500" t="s">
        <v>526</v>
      </c>
      <c r="H74" s="491">
        <f t="shared" si="1"/>
        <v>0</v>
      </c>
      <c r="I74" s="501">
        <v>0</v>
      </c>
      <c r="J74" s="486"/>
      <c r="K74" s="112"/>
      <c r="L74" s="109"/>
      <c r="M74" s="110"/>
      <c r="N74" s="110"/>
    </row>
    <row r="75" spans="1:16" s="107" customFormat="1" ht="23.25" customHeight="1">
      <c r="A75" s="114" t="s">
        <v>832</v>
      </c>
      <c r="B75" s="489"/>
      <c r="C75" s="489">
        <v>152</v>
      </c>
      <c r="D75" s="489">
        <v>901060000</v>
      </c>
      <c r="E75" s="489"/>
      <c r="F75" s="489">
        <v>152</v>
      </c>
      <c r="G75" s="122" t="s">
        <v>525</v>
      </c>
      <c r="H75" s="491">
        <f t="shared" si="1"/>
        <v>176362.34</v>
      </c>
      <c r="I75" s="501">
        <v>0</v>
      </c>
      <c r="J75" s="486">
        <f>144982.13+31380.21</f>
        <v>176362.34</v>
      </c>
      <c r="K75" s="112"/>
      <c r="L75" s="109"/>
      <c r="M75" s="110"/>
      <c r="N75" s="110"/>
      <c r="P75" s="486"/>
    </row>
    <row r="76" spans="1:14" s="107" customFormat="1" ht="23.25" customHeight="1" hidden="1">
      <c r="A76" s="114" t="s">
        <v>833</v>
      </c>
      <c r="B76" s="489"/>
      <c r="C76" s="489">
        <v>152</v>
      </c>
      <c r="D76" s="489">
        <v>901140000</v>
      </c>
      <c r="E76" s="489"/>
      <c r="F76" s="489">
        <v>152</v>
      </c>
      <c r="G76" s="500" t="s">
        <v>526</v>
      </c>
      <c r="H76" s="491">
        <f t="shared" si="1"/>
        <v>0</v>
      </c>
      <c r="I76" s="501">
        <v>0</v>
      </c>
      <c r="J76" s="486"/>
      <c r="K76" s="112"/>
      <c r="L76" s="109"/>
      <c r="M76" s="110"/>
      <c r="N76" s="110"/>
    </row>
    <row r="77" spans="1:14" s="107" customFormat="1" ht="23.25" customHeight="1" hidden="1">
      <c r="A77" s="114" t="s">
        <v>834</v>
      </c>
      <c r="B77" s="489"/>
      <c r="C77" s="489">
        <v>152</v>
      </c>
      <c r="D77" s="489">
        <v>901140000</v>
      </c>
      <c r="E77" s="489"/>
      <c r="F77" s="489">
        <v>152</v>
      </c>
      <c r="G77" s="500" t="s">
        <v>526</v>
      </c>
      <c r="H77" s="491">
        <f t="shared" si="1"/>
        <v>0</v>
      </c>
      <c r="I77" s="501">
        <v>0</v>
      </c>
      <c r="J77" s="486"/>
      <c r="K77" s="112"/>
      <c r="L77" s="109"/>
      <c r="M77" s="110"/>
      <c r="N77" s="110"/>
    </row>
    <row r="78" spans="1:14" s="107" customFormat="1" ht="23.25" customHeight="1" hidden="1">
      <c r="A78" s="114" t="s">
        <v>835</v>
      </c>
      <c r="B78" s="489"/>
      <c r="C78" s="489">
        <v>152</v>
      </c>
      <c r="D78" s="489">
        <v>901150000</v>
      </c>
      <c r="E78" s="489"/>
      <c r="F78" s="489">
        <v>152</v>
      </c>
      <c r="G78" s="500" t="s">
        <v>526</v>
      </c>
      <c r="H78" s="491">
        <f t="shared" si="1"/>
        <v>0</v>
      </c>
      <c r="I78" s="501">
        <v>0</v>
      </c>
      <c r="J78" s="486"/>
      <c r="K78" s="112"/>
      <c r="L78" s="109"/>
      <c r="M78" s="110"/>
      <c r="N78" s="110"/>
    </row>
    <row r="79" spans="1:14" s="107" customFormat="1" ht="23.25" customHeight="1" hidden="1">
      <c r="A79" s="114" t="s">
        <v>241</v>
      </c>
      <c r="B79" s="489"/>
      <c r="C79" s="489">
        <v>152</v>
      </c>
      <c r="D79" s="502">
        <v>901210000</v>
      </c>
      <c r="E79" s="489"/>
      <c r="F79" s="489">
        <v>152</v>
      </c>
      <c r="G79" s="492" t="s">
        <v>528</v>
      </c>
      <c r="H79" s="491">
        <f t="shared" si="1"/>
        <v>0</v>
      </c>
      <c r="I79" s="501">
        <v>0</v>
      </c>
      <c r="J79" s="486"/>
      <c r="K79" s="112"/>
      <c r="L79" s="109"/>
      <c r="M79" s="110"/>
      <c r="N79" s="110"/>
    </row>
    <row r="80" spans="1:14" s="107" customFormat="1" ht="23.25" customHeight="1" hidden="1">
      <c r="A80" s="114" t="s">
        <v>836</v>
      </c>
      <c r="B80" s="489"/>
      <c r="C80" s="489">
        <v>152</v>
      </c>
      <c r="D80" s="489">
        <v>901480000</v>
      </c>
      <c r="E80" s="489"/>
      <c r="F80" s="489">
        <v>152</v>
      </c>
      <c r="G80" s="500" t="s">
        <v>526</v>
      </c>
      <c r="H80" s="491">
        <f>J80+K80</f>
        <v>0</v>
      </c>
      <c r="I80" s="501">
        <v>0</v>
      </c>
      <c r="J80" s="486"/>
      <c r="K80" s="112"/>
      <c r="L80" s="109"/>
      <c r="M80" s="110"/>
      <c r="N80" s="110"/>
    </row>
    <row r="81" spans="1:14" s="107" customFormat="1" ht="23.25" customHeight="1" hidden="1">
      <c r="A81" s="114" t="s">
        <v>837</v>
      </c>
      <c r="B81" s="489"/>
      <c r="C81" s="489">
        <v>152</v>
      </c>
      <c r="D81" s="489">
        <v>901370000</v>
      </c>
      <c r="E81" s="489"/>
      <c r="F81" s="489">
        <v>152</v>
      </c>
      <c r="G81" s="500">
        <v>91100221500</v>
      </c>
      <c r="H81" s="491">
        <f>J81+K81</f>
        <v>0</v>
      </c>
      <c r="I81" s="501">
        <v>0</v>
      </c>
      <c r="J81" s="486"/>
      <c r="K81" s="112"/>
      <c r="L81" s="109"/>
      <c r="M81" s="110"/>
      <c r="N81" s="110"/>
    </row>
    <row r="82" spans="1:14" s="107" customFormat="1" ht="23.25" customHeight="1" hidden="1">
      <c r="A82" s="114" t="s">
        <v>838</v>
      </c>
      <c r="B82" s="489"/>
      <c r="C82" s="489">
        <v>152</v>
      </c>
      <c r="D82" s="489">
        <v>901030000</v>
      </c>
      <c r="E82" s="489"/>
      <c r="F82" s="489">
        <v>152</v>
      </c>
      <c r="G82" s="500" t="s">
        <v>839</v>
      </c>
      <c r="H82" s="491">
        <f>J82+K82</f>
        <v>0</v>
      </c>
      <c r="I82" s="501">
        <v>0</v>
      </c>
      <c r="J82" s="486"/>
      <c r="K82" s="112"/>
      <c r="L82" s="109"/>
      <c r="M82" s="110"/>
      <c r="N82" s="110"/>
    </row>
    <row r="83" spans="1:14" s="107" customFormat="1" ht="23.25" customHeight="1" hidden="1">
      <c r="A83" s="114" t="s">
        <v>840</v>
      </c>
      <c r="B83" s="489"/>
      <c r="C83" s="489">
        <v>152</v>
      </c>
      <c r="D83" s="489">
        <v>901490000</v>
      </c>
      <c r="E83" s="489"/>
      <c r="F83" s="489">
        <v>152</v>
      </c>
      <c r="G83" s="500" t="s">
        <v>841</v>
      </c>
      <c r="H83" s="491">
        <f t="shared" si="1"/>
        <v>0</v>
      </c>
      <c r="I83" s="501">
        <v>0</v>
      </c>
      <c r="J83" s="486"/>
      <c r="K83" s="112"/>
      <c r="L83" s="109"/>
      <c r="M83" s="110"/>
      <c r="N83" s="110"/>
    </row>
    <row r="84" spans="1:14" s="107" customFormat="1" ht="23.25" customHeight="1">
      <c r="A84" s="114" t="s">
        <v>167</v>
      </c>
      <c r="B84" s="115">
        <v>150</v>
      </c>
      <c r="C84" s="115">
        <v>152</v>
      </c>
      <c r="D84" s="115">
        <v>901750000</v>
      </c>
      <c r="E84" s="115"/>
      <c r="F84" s="115">
        <v>152</v>
      </c>
      <c r="G84" s="122" t="s">
        <v>529</v>
      </c>
      <c r="H84" s="118">
        <f t="shared" si="1"/>
        <v>0</v>
      </c>
      <c r="I84" s="109"/>
      <c r="J84" s="125">
        <v>0</v>
      </c>
      <c r="K84" s="112"/>
      <c r="L84" s="109"/>
      <c r="M84" s="110"/>
      <c r="N84" s="110"/>
    </row>
    <row r="85" spans="1:14" s="128" customFormat="1" ht="15" customHeight="1">
      <c r="A85" s="114" t="s">
        <v>210</v>
      </c>
      <c r="B85" s="115">
        <v>160</v>
      </c>
      <c r="C85" s="115">
        <v>180</v>
      </c>
      <c r="D85" s="116" t="s">
        <v>521</v>
      </c>
      <c r="E85" s="115"/>
      <c r="F85" s="115">
        <v>180</v>
      </c>
      <c r="G85" s="117" t="s">
        <v>363</v>
      </c>
      <c r="H85" s="118">
        <f aca="true" t="shared" si="2" ref="H85:H93">M85</f>
        <v>-223534</v>
      </c>
      <c r="I85" s="115" t="s">
        <v>74</v>
      </c>
      <c r="J85" s="115" t="s">
        <v>74</v>
      </c>
      <c r="K85" s="115" t="s">
        <v>74</v>
      </c>
      <c r="L85" s="115" t="s">
        <v>74</v>
      </c>
      <c r="M85" s="118">
        <f>M86+M87</f>
        <v>-223534</v>
      </c>
      <c r="N85" s="118">
        <f>N86+N87</f>
        <v>0</v>
      </c>
    </row>
    <row r="86" spans="1:14" s="128" customFormat="1" ht="15" customHeight="1">
      <c r="A86" s="135" t="s">
        <v>133</v>
      </c>
      <c r="B86" s="115"/>
      <c r="C86" s="115">
        <v>189</v>
      </c>
      <c r="D86" s="116" t="s">
        <v>521</v>
      </c>
      <c r="E86" s="115"/>
      <c r="F86" s="115">
        <v>189</v>
      </c>
      <c r="G86" s="117" t="s">
        <v>363</v>
      </c>
      <c r="H86" s="118">
        <f t="shared" si="2"/>
        <v>0</v>
      </c>
      <c r="I86" s="118"/>
      <c r="J86" s="118"/>
      <c r="K86" s="119"/>
      <c r="L86" s="123"/>
      <c r="M86" s="118"/>
      <c r="N86" s="118"/>
    </row>
    <row r="87" spans="1:14" s="128" customFormat="1" ht="15" customHeight="1">
      <c r="A87" s="135" t="s">
        <v>134</v>
      </c>
      <c r="B87" s="115"/>
      <c r="C87" s="115">
        <v>189</v>
      </c>
      <c r="D87" s="116" t="s">
        <v>521</v>
      </c>
      <c r="E87" s="115"/>
      <c r="F87" s="115">
        <v>189</v>
      </c>
      <c r="G87" s="117" t="s">
        <v>363</v>
      </c>
      <c r="H87" s="118">
        <f t="shared" si="2"/>
        <v>-223534</v>
      </c>
      <c r="I87" s="118"/>
      <c r="J87" s="118"/>
      <c r="K87" s="119"/>
      <c r="L87" s="123"/>
      <c r="M87" s="118">
        <f>-112140-111394</f>
        <v>-223534</v>
      </c>
      <c r="N87" s="118"/>
    </row>
    <row r="88" spans="1:14" s="128" customFormat="1" ht="24" customHeight="1">
      <c r="A88" s="114" t="s">
        <v>211</v>
      </c>
      <c r="B88" s="115">
        <v>180</v>
      </c>
      <c r="C88" s="115">
        <v>400</v>
      </c>
      <c r="D88" s="116" t="s">
        <v>521</v>
      </c>
      <c r="E88" s="115" t="s">
        <v>74</v>
      </c>
      <c r="F88" s="115">
        <v>400</v>
      </c>
      <c r="G88" s="122" t="s">
        <v>363</v>
      </c>
      <c r="H88" s="118">
        <f t="shared" si="2"/>
        <v>0</v>
      </c>
      <c r="I88" s="115" t="s">
        <v>74</v>
      </c>
      <c r="J88" s="115" t="s">
        <v>74</v>
      </c>
      <c r="K88" s="115" t="s">
        <v>74</v>
      </c>
      <c r="L88" s="115" t="s">
        <v>74</v>
      </c>
      <c r="M88" s="118">
        <f>M89+M90+M91+M93+M92</f>
        <v>0</v>
      </c>
      <c r="N88" s="115" t="s">
        <v>74</v>
      </c>
    </row>
    <row r="89" spans="1:14" s="128" customFormat="1" ht="24" customHeight="1">
      <c r="A89" s="136" t="s">
        <v>374</v>
      </c>
      <c r="B89" s="115"/>
      <c r="C89" s="115">
        <v>410</v>
      </c>
      <c r="D89" s="116" t="s">
        <v>521</v>
      </c>
      <c r="E89" s="115"/>
      <c r="F89" s="115">
        <v>410</v>
      </c>
      <c r="G89" s="117" t="s">
        <v>363</v>
      </c>
      <c r="H89" s="118">
        <f t="shared" si="2"/>
        <v>0</v>
      </c>
      <c r="I89" s="118"/>
      <c r="J89" s="118"/>
      <c r="K89" s="119"/>
      <c r="L89" s="123"/>
      <c r="M89" s="118"/>
      <c r="N89" s="118"/>
    </row>
    <row r="90" spans="1:14" s="128" customFormat="1" ht="24" customHeight="1">
      <c r="A90" s="136" t="s">
        <v>375</v>
      </c>
      <c r="B90" s="115"/>
      <c r="C90" s="115">
        <v>420</v>
      </c>
      <c r="D90" s="116" t="s">
        <v>521</v>
      </c>
      <c r="E90" s="115"/>
      <c r="F90" s="115">
        <v>420</v>
      </c>
      <c r="G90" s="117" t="s">
        <v>363</v>
      </c>
      <c r="H90" s="118">
        <f t="shared" si="2"/>
        <v>0</v>
      </c>
      <c r="I90" s="118"/>
      <c r="J90" s="118"/>
      <c r="K90" s="119"/>
      <c r="L90" s="123"/>
      <c r="M90" s="118"/>
      <c r="N90" s="118"/>
    </row>
    <row r="91" spans="1:14" s="128" customFormat="1" ht="24" customHeight="1">
      <c r="A91" s="136" t="s">
        <v>376</v>
      </c>
      <c r="B91" s="115"/>
      <c r="C91" s="115">
        <v>430</v>
      </c>
      <c r="D91" s="116" t="s">
        <v>521</v>
      </c>
      <c r="E91" s="115"/>
      <c r="F91" s="115">
        <v>430</v>
      </c>
      <c r="G91" s="117" t="s">
        <v>363</v>
      </c>
      <c r="H91" s="118">
        <f t="shared" si="2"/>
        <v>0</v>
      </c>
      <c r="I91" s="118"/>
      <c r="J91" s="118"/>
      <c r="K91" s="119"/>
      <c r="L91" s="123"/>
      <c r="M91" s="118"/>
      <c r="N91" s="118"/>
    </row>
    <row r="92" spans="1:14" s="121" customFormat="1" ht="24" customHeight="1">
      <c r="A92" s="136" t="s">
        <v>425</v>
      </c>
      <c r="B92" s="115"/>
      <c r="C92" s="115">
        <v>440</v>
      </c>
      <c r="D92" s="116" t="s">
        <v>521</v>
      </c>
      <c r="E92" s="115"/>
      <c r="F92" s="115">
        <v>440</v>
      </c>
      <c r="G92" s="117" t="s">
        <v>363</v>
      </c>
      <c r="H92" s="118">
        <f>M92</f>
        <v>0</v>
      </c>
      <c r="I92" s="118"/>
      <c r="J92" s="118"/>
      <c r="K92" s="119"/>
      <c r="L92" s="123"/>
      <c r="M92" s="118"/>
      <c r="N92" s="118"/>
    </row>
    <row r="93" spans="1:14" s="128" customFormat="1" ht="24" customHeight="1">
      <c r="A93" s="136" t="s">
        <v>377</v>
      </c>
      <c r="B93" s="115"/>
      <c r="C93" s="115">
        <v>450</v>
      </c>
      <c r="D93" s="116" t="s">
        <v>521</v>
      </c>
      <c r="E93" s="115"/>
      <c r="F93" s="115">
        <v>450</v>
      </c>
      <c r="G93" s="117" t="s">
        <v>363</v>
      </c>
      <c r="H93" s="118">
        <f t="shared" si="2"/>
        <v>0</v>
      </c>
      <c r="I93" s="118"/>
      <c r="J93" s="118"/>
      <c r="K93" s="119"/>
      <c r="L93" s="123"/>
      <c r="M93" s="118"/>
      <c r="N93" s="118"/>
    </row>
    <row r="94" spans="1:14" s="8" customFormat="1" ht="11.25" customHeight="1">
      <c r="A94" s="137" t="s">
        <v>44</v>
      </c>
      <c r="B94" s="138">
        <v>200</v>
      </c>
      <c r="C94" s="138"/>
      <c r="D94" s="138"/>
      <c r="E94" s="138"/>
      <c r="F94" s="139"/>
      <c r="G94" s="139"/>
      <c r="H94" s="140">
        <f>I94+J94+M94</f>
        <v>76602195.44999999</v>
      </c>
      <c r="I94" s="140">
        <f aca="true" t="shared" si="3" ref="I94:N94">I96+I141+I155+I171+I172+I176</f>
        <v>51163721.339999996</v>
      </c>
      <c r="J94" s="140">
        <f>J96+J141+J155+J171+J172+J176</f>
        <v>6737348.87</v>
      </c>
      <c r="K94" s="140">
        <f t="shared" si="3"/>
        <v>0</v>
      </c>
      <c r="L94" s="140">
        <f t="shared" si="3"/>
        <v>0</v>
      </c>
      <c r="M94" s="140">
        <f t="shared" si="3"/>
        <v>18701125.240000002</v>
      </c>
      <c r="N94" s="140">
        <f t="shared" si="3"/>
        <v>0</v>
      </c>
    </row>
    <row r="95" spans="1:14" s="8" customFormat="1" ht="13.5" customHeight="1">
      <c r="A95" s="141" t="s">
        <v>4</v>
      </c>
      <c r="B95" s="109"/>
      <c r="C95" s="109"/>
      <c r="D95" s="109"/>
      <c r="E95" s="109"/>
      <c r="F95" s="109"/>
      <c r="G95" s="110"/>
      <c r="H95" s="125"/>
      <c r="I95" s="125"/>
      <c r="J95" s="125"/>
      <c r="K95" s="113"/>
      <c r="L95" s="113"/>
      <c r="M95" s="113"/>
      <c r="N95" s="113"/>
    </row>
    <row r="96" spans="1:14" s="161" customFormat="1" ht="13.5" customHeight="1">
      <c r="A96" s="176" t="s">
        <v>296</v>
      </c>
      <c r="B96" s="174">
        <v>210</v>
      </c>
      <c r="C96" s="174"/>
      <c r="D96" s="174"/>
      <c r="E96" s="174"/>
      <c r="F96" s="174"/>
      <c r="G96" s="177"/>
      <c r="H96" s="160">
        <f>H98+SUM(H115:H140)</f>
        <v>48874354.09</v>
      </c>
      <c r="I96" s="160">
        <f>I98+SUM(I115:I140)</f>
        <v>37114047.6</v>
      </c>
      <c r="J96" s="160">
        <f>J98+SUM(J115:J140)</f>
        <v>4680444.1899999995</v>
      </c>
      <c r="K96" s="160">
        <f>K98</f>
        <v>0</v>
      </c>
      <c r="L96" s="160">
        <f>L98</f>
        <v>0</v>
      </c>
      <c r="M96" s="160">
        <f>M98+SUM(M115:M140)</f>
        <v>7452862.300000001</v>
      </c>
      <c r="N96" s="160">
        <f>N98</f>
        <v>0</v>
      </c>
    </row>
    <row r="97" spans="1:14" s="8" customFormat="1" ht="13.5" customHeight="1">
      <c r="A97" s="142" t="s">
        <v>3</v>
      </c>
      <c r="B97" s="115"/>
      <c r="C97" s="115"/>
      <c r="D97" s="115"/>
      <c r="E97" s="115"/>
      <c r="F97" s="115"/>
      <c r="G97" s="122"/>
      <c r="H97" s="118"/>
      <c r="I97" s="125"/>
      <c r="J97" s="125"/>
      <c r="K97" s="113"/>
      <c r="L97" s="113"/>
      <c r="M97" s="113"/>
      <c r="N97" s="113"/>
    </row>
    <row r="98" spans="1:14" s="161" customFormat="1" ht="25.5" customHeight="1">
      <c r="A98" s="156" t="s">
        <v>297</v>
      </c>
      <c r="B98" s="157">
        <v>211</v>
      </c>
      <c r="C98" s="157"/>
      <c r="D98" s="157"/>
      <c r="E98" s="157"/>
      <c r="F98" s="157"/>
      <c r="G98" s="158"/>
      <c r="H98" s="159">
        <f>SUM(H100:H111)</f>
        <v>37078008.67</v>
      </c>
      <c r="I98" s="159">
        <f>SUM(I100:I111)</f>
        <v>28406512</v>
      </c>
      <c r="J98" s="159">
        <f>SUM(J100:J111)</f>
        <v>3320332.02</v>
      </c>
      <c r="K98" s="159">
        <f>SUM(K100:K111)</f>
        <v>0</v>
      </c>
      <c r="L98" s="159">
        <f>SUM(L100:L111)</f>
        <v>0</v>
      </c>
      <c r="M98" s="159">
        <f>SUM(M100:M114)</f>
        <v>5724164.65</v>
      </c>
      <c r="N98" s="160">
        <f>N100+N115+N123+N130</f>
        <v>0</v>
      </c>
    </row>
    <row r="99" spans="1:14" s="8" customFormat="1" ht="16.5" customHeight="1">
      <c r="A99" s="142" t="s">
        <v>4</v>
      </c>
      <c r="B99" s="115"/>
      <c r="C99" s="115"/>
      <c r="D99" s="115"/>
      <c r="E99" s="115"/>
      <c r="F99" s="115"/>
      <c r="G99" s="122"/>
      <c r="H99" s="118"/>
      <c r="I99" s="125"/>
      <c r="J99" s="125"/>
      <c r="K99" s="113"/>
      <c r="L99" s="113"/>
      <c r="M99" s="113"/>
      <c r="N99" s="113"/>
    </row>
    <row r="100" spans="1:14" s="8" customFormat="1" ht="16.5" customHeight="1">
      <c r="A100" s="142" t="s">
        <v>298</v>
      </c>
      <c r="B100" s="115"/>
      <c r="C100" s="115">
        <v>211</v>
      </c>
      <c r="D100" s="116" t="s">
        <v>522</v>
      </c>
      <c r="E100" s="115">
        <v>111</v>
      </c>
      <c r="F100" s="115">
        <v>211</v>
      </c>
      <c r="G100" s="102" t="s">
        <v>523</v>
      </c>
      <c r="H100" s="118">
        <f>I100+J100+K100+L100+M100+N100</f>
        <v>20101816.83</v>
      </c>
      <c r="I100" s="125">
        <f>18060150.53+226690.97-123437.53+1951335.52-12922.66</f>
        <v>20101816.83</v>
      </c>
      <c r="J100" s="125"/>
      <c r="K100" s="113"/>
      <c r="L100" s="113"/>
      <c r="M100" s="113"/>
      <c r="N100" s="113"/>
    </row>
    <row r="101" spans="1:14" s="8" customFormat="1" ht="16.5" customHeight="1">
      <c r="A101" s="142" t="s">
        <v>298</v>
      </c>
      <c r="B101" s="487"/>
      <c r="C101" s="115">
        <v>211</v>
      </c>
      <c r="D101" s="488" t="s">
        <v>522</v>
      </c>
      <c r="E101" s="392">
        <v>111</v>
      </c>
      <c r="F101" s="392">
        <v>211</v>
      </c>
      <c r="G101" s="490" t="s">
        <v>825</v>
      </c>
      <c r="H101" s="491">
        <f>I101+J101+K101+L101+M101+N101</f>
        <v>8164695.17</v>
      </c>
      <c r="I101" s="486">
        <v>8164695.17</v>
      </c>
      <c r="J101" s="125"/>
      <c r="K101" s="113"/>
      <c r="L101" s="113"/>
      <c r="M101" s="113"/>
      <c r="N101" s="113"/>
    </row>
    <row r="102" spans="1:14" s="8" customFormat="1" ht="16.5" customHeight="1">
      <c r="A102" s="142" t="s">
        <v>298</v>
      </c>
      <c r="B102" s="487"/>
      <c r="C102" s="115">
        <v>266</v>
      </c>
      <c r="D102" s="488" t="s">
        <v>522</v>
      </c>
      <c r="E102" s="392">
        <v>111</v>
      </c>
      <c r="F102" s="392">
        <v>266</v>
      </c>
      <c r="G102" s="490" t="s">
        <v>825</v>
      </c>
      <c r="H102" s="491">
        <f>I102+J102+K102+L102+M102+N102</f>
        <v>120000</v>
      </c>
      <c r="I102" s="486">
        <v>120000</v>
      </c>
      <c r="J102" s="125"/>
      <c r="K102" s="113"/>
      <c r="L102" s="113"/>
      <c r="M102" s="113"/>
      <c r="N102" s="113"/>
    </row>
    <row r="103" spans="1:14" s="8" customFormat="1" ht="16.5" customHeight="1" hidden="1">
      <c r="A103" s="142" t="s">
        <v>298</v>
      </c>
      <c r="B103" s="487"/>
      <c r="C103" s="115">
        <v>211</v>
      </c>
      <c r="D103" s="488" t="s">
        <v>522</v>
      </c>
      <c r="E103" s="392">
        <v>111</v>
      </c>
      <c r="F103" s="392">
        <v>211</v>
      </c>
      <c r="G103" s="490" t="s">
        <v>523</v>
      </c>
      <c r="H103" s="491">
        <f>I103+J103+K103+L103+M103+N103</f>
        <v>0</v>
      </c>
      <c r="I103" s="486"/>
      <c r="J103" s="125"/>
      <c r="K103" s="113"/>
      <c r="L103" s="113"/>
      <c r="M103" s="113"/>
      <c r="N103" s="113"/>
    </row>
    <row r="104" spans="1:14" s="8" customFormat="1" ht="16.5" customHeight="1">
      <c r="A104" s="142" t="s">
        <v>298</v>
      </c>
      <c r="B104" s="487"/>
      <c r="C104" s="115">
        <v>266</v>
      </c>
      <c r="D104" s="488" t="s">
        <v>522</v>
      </c>
      <c r="E104" s="392">
        <v>111</v>
      </c>
      <c r="F104" s="392">
        <v>266</v>
      </c>
      <c r="G104" s="490" t="s">
        <v>523</v>
      </c>
      <c r="H104" s="491">
        <f>I104+J104+K104+L104+M104+N104</f>
        <v>20000</v>
      </c>
      <c r="I104" s="486">
        <v>20000</v>
      </c>
      <c r="J104" s="125"/>
      <c r="K104" s="113"/>
      <c r="L104" s="113"/>
      <c r="M104" s="113"/>
      <c r="N104" s="113"/>
    </row>
    <row r="105" spans="1:14" s="8" customFormat="1" ht="16.5" customHeight="1">
      <c r="A105" s="142" t="s">
        <v>298</v>
      </c>
      <c r="B105" s="115"/>
      <c r="C105" s="115">
        <v>211</v>
      </c>
      <c r="D105" s="115">
        <v>901480000</v>
      </c>
      <c r="E105" s="115">
        <v>111</v>
      </c>
      <c r="F105" s="115">
        <v>211</v>
      </c>
      <c r="G105" s="102" t="s">
        <v>523</v>
      </c>
      <c r="H105" s="118">
        <f>SUM(I105:J105)</f>
        <v>1944396.86</v>
      </c>
      <c r="I105" s="125"/>
      <c r="J105" s="125">
        <f>1291679.72-7680.49+314345.35+346052.28</f>
        <v>1944396.86</v>
      </c>
      <c r="K105" s="113"/>
      <c r="L105" s="113"/>
      <c r="M105" s="113"/>
      <c r="N105" s="113"/>
    </row>
    <row r="106" spans="1:14" s="8" customFormat="1" ht="16.5" customHeight="1">
      <c r="A106" s="142" t="s">
        <v>298</v>
      </c>
      <c r="B106" s="115"/>
      <c r="C106" s="115">
        <v>211</v>
      </c>
      <c r="D106" s="115">
        <v>901160000</v>
      </c>
      <c r="E106" s="115">
        <v>111</v>
      </c>
      <c r="F106" s="115">
        <v>211</v>
      </c>
      <c r="G106" s="102" t="s">
        <v>523</v>
      </c>
      <c r="H106" s="118">
        <f>SUM(I106:J106)</f>
        <v>847763.81</v>
      </c>
      <c r="I106" s="125"/>
      <c r="J106" s="125">
        <f>729373.27-3668.08+27790.49+94268.13</f>
        <v>847763.81</v>
      </c>
      <c r="K106" s="113"/>
      <c r="L106" s="113"/>
      <c r="M106" s="113"/>
      <c r="N106" s="113"/>
    </row>
    <row r="107" spans="1:14" s="8" customFormat="1" ht="16.5" customHeight="1">
      <c r="A107" s="142" t="s">
        <v>298</v>
      </c>
      <c r="B107" s="115"/>
      <c r="C107" s="115">
        <v>211</v>
      </c>
      <c r="D107" s="115">
        <v>901830000</v>
      </c>
      <c r="E107" s="115">
        <v>111</v>
      </c>
      <c r="F107" s="115">
        <v>211</v>
      </c>
      <c r="G107" s="102" t="s">
        <v>523</v>
      </c>
      <c r="H107" s="118">
        <f>SUM(I107:J107)</f>
        <v>528171.35</v>
      </c>
      <c r="I107" s="125"/>
      <c r="J107" s="125">
        <f>408936.68+2.1+30817.51+1.03+88414.03</f>
        <v>528171.35</v>
      </c>
      <c r="K107" s="113"/>
      <c r="L107" s="113"/>
      <c r="M107" s="113"/>
      <c r="N107" s="113"/>
    </row>
    <row r="108" spans="1:14" s="8" customFormat="1" ht="16.5" customHeight="1" hidden="1">
      <c r="A108" s="142" t="s">
        <v>298</v>
      </c>
      <c r="B108" s="487"/>
      <c r="C108" s="115">
        <v>211</v>
      </c>
      <c r="D108" s="489">
        <v>901480000</v>
      </c>
      <c r="E108" s="115">
        <v>111</v>
      </c>
      <c r="F108" s="115">
        <v>211</v>
      </c>
      <c r="G108" s="500" t="s">
        <v>523</v>
      </c>
      <c r="H108" s="491">
        <f>I108+J108+K108+L108+M108+N108</f>
        <v>0</v>
      </c>
      <c r="I108" s="485">
        <v>0</v>
      </c>
      <c r="J108" s="486"/>
      <c r="K108" s="113"/>
      <c r="L108" s="113"/>
      <c r="M108" s="113"/>
      <c r="N108" s="113"/>
    </row>
    <row r="109" spans="1:14" s="8" customFormat="1" ht="16.5" customHeight="1" hidden="1">
      <c r="A109" s="142" t="s">
        <v>298</v>
      </c>
      <c r="B109" s="487"/>
      <c r="C109" s="115">
        <v>211</v>
      </c>
      <c r="D109" s="489">
        <v>901160000</v>
      </c>
      <c r="E109" s="115">
        <v>111</v>
      </c>
      <c r="F109" s="115">
        <v>211</v>
      </c>
      <c r="G109" s="500" t="s">
        <v>523</v>
      </c>
      <c r="H109" s="491">
        <f>I109+J109+K109+L109+M109+N109</f>
        <v>0</v>
      </c>
      <c r="I109" s="485">
        <v>0</v>
      </c>
      <c r="J109" s="486"/>
      <c r="K109" s="113"/>
      <c r="L109" s="113"/>
      <c r="M109" s="113"/>
      <c r="N109" s="113"/>
    </row>
    <row r="110" spans="1:14" s="8" customFormat="1" ht="16.5" customHeight="1" hidden="1">
      <c r="A110" s="142" t="s">
        <v>298</v>
      </c>
      <c r="B110" s="487"/>
      <c r="C110" s="115">
        <v>211</v>
      </c>
      <c r="D110" s="489">
        <v>901830000</v>
      </c>
      <c r="E110" s="115">
        <v>111</v>
      </c>
      <c r="F110" s="115">
        <v>211</v>
      </c>
      <c r="G110" s="500" t="s">
        <v>523</v>
      </c>
      <c r="H110" s="491">
        <f>I110+J110+K110+L110+M110+N110</f>
        <v>0</v>
      </c>
      <c r="I110" s="485">
        <v>0</v>
      </c>
      <c r="J110" s="486"/>
      <c r="K110" s="113"/>
      <c r="L110" s="113"/>
      <c r="M110" s="113"/>
      <c r="N110" s="113"/>
    </row>
    <row r="111" spans="1:14" s="8" customFormat="1" ht="16.5" customHeight="1">
      <c r="A111" s="142" t="s">
        <v>298</v>
      </c>
      <c r="B111" s="115"/>
      <c r="C111" s="115">
        <v>211</v>
      </c>
      <c r="D111" s="116" t="s">
        <v>521</v>
      </c>
      <c r="E111" s="115">
        <v>111</v>
      </c>
      <c r="F111" s="115">
        <v>211</v>
      </c>
      <c r="G111" s="102" t="s">
        <v>530</v>
      </c>
      <c r="H111" s="118">
        <f>SUM(I111:M111)</f>
        <v>5351164.65</v>
      </c>
      <c r="I111" s="125"/>
      <c r="J111" s="125"/>
      <c r="K111" s="113"/>
      <c r="L111" s="113"/>
      <c r="M111" s="113">
        <v>5351164.65</v>
      </c>
      <c r="N111" s="113"/>
    </row>
    <row r="112" spans="1:14" s="8" customFormat="1" ht="16.5" customHeight="1">
      <c r="A112" s="142" t="s">
        <v>298</v>
      </c>
      <c r="B112" s="487"/>
      <c r="C112" s="392">
        <v>211</v>
      </c>
      <c r="D112" s="498" t="s">
        <v>521</v>
      </c>
      <c r="E112" s="392">
        <v>111</v>
      </c>
      <c r="F112" s="392">
        <v>211</v>
      </c>
      <c r="G112" s="492" t="s">
        <v>530</v>
      </c>
      <c r="H112" s="491">
        <f>I112+J112+K112+L112+M112+N112</f>
        <v>365000</v>
      </c>
      <c r="I112" s="485">
        <v>0</v>
      </c>
      <c r="J112" s="485">
        <v>0</v>
      </c>
      <c r="K112" s="499">
        <v>0</v>
      </c>
      <c r="L112" s="499">
        <v>0</v>
      </c>
      <c r="M112" s="497">
        <v>365000</v>
      </c>
      <c r="N112" s="113"/>
    </row>
    <row r="113" spans="1:14" s="8" customFormat="1" ht="16.5" customHeight="1">
      <c r="A113" s="142" t="s">
        <v>298</v>
      </c>
      <c r="B113" s="487"/>
      <c r="C113" s="392">
        <v>266</v>
      </c>
      <c r="D113" s="498" t="s">
        <v>521</v>
      </c>
      <c r="E113" s="392">
        <v>111</v>
      </c>
      <c r="F113" s="392">
        <v>266</v>
      </c>
      <c r="G113" s="492" t="s">
        <v>530</v>
      </c>
      <c r="H113" s="491">
        <f>I113+J113+K113+L113+M113+N113</f>
        <v>5000</v>
      </c>
      <c r="I113" s="485"/>
      <c r="J113" s="485"/>
      <c r="K113" s="499"/>
      <c r="L113" s="499"/>
      <c r="M113" s="497">
        <v>5000</v>
      </c>
      <c r="N113" s="113"/>
    </row>
    <row r="114" spans="1:14" s="8" customFormat="1" ht="16.5" customHeight="1">
      <c r="A114" s="142" t="s">
        <v>298</v>
      </c>
      <c r="B114" s="487"/>
      <c r="C114" s="392">
        <v>266</v>
      </c>
      <c r="D114" s="498" t="s">
        <v>521</v>
      </c>
      <c r="E114" s="392">
        <v>111</v>
      </c>
      <c r="F114" s="392">
        <v>266</v>
      </c>
      <c r="G114" s="492" t="s">
        <v>530</v>
      </c>
      <c r="H114" s="491">
        <f>I114+J114+K114+L114+M114+N114</f>
        <v>3000</v>
      </c>
      <c r="I114" s="485">
        <v>0</v>
      </c>
      <c r="J114" s="485">
        <v>0</v>
      </c>
      <c r="K114" s="499">
        <v>0</v>
      </c>
      <c r="L114" s="499">
        <v>0</v>
      </c>
      <c r="M114" s="496">
        <v>3000</v>
      </c>
      <c r="N114" s="113"/>
    </row>
    <row r="115" spans="1:14" s="8" customFormat="1" ht="16.5" customHeight="1">
      <c r="A115" s="142" t="s">
        <v>299</v>
      </c>
      <c r="B115" s="115"/>
      <c r="C115" s="115">
        <v>266</v>
      </c>
      <c r="D115" s="116" t="s">
        <v>522</v>
      </c>
      <c r="E115" s="115">
        <v>111</v>
      </c>
      <c r="F115" s="115">
        <v>266</v>
      </c>
      <c r="G115" s="102" t="s">
        <v>523</v>
      </c>
      <c r="H115" s="118">
        <f>I115+J115+K115+L115+M115+N115</f>
        <v>127432.87</v>
      </c>
      <c r="I115" s="125">
        <v>127432.87</v>
      </c>
      <c r="J115" s="125"/>
      <c r="K115" s="113"/>
      <c r="L115" s="113"/>
      <c r="M115" s="113"/>
      <c r="N115" s="113"/>
    </row>
    <row r="116" spans="1:14" s="8" customFormat="1" ht="16.5" customHeight="1">
      <c r="A116" s="142" t="s">
        <v>299</v>
      </c>
      <c r="B116" s="115"/>
      <c r="C116" s="115">
        <v>266</v>
      </c>
      <c r="D116" s="115">
        <v>901480000</v>
      </c>
      <c r="E116" s="115">
        <v>111</v>
      </c>
      <c r="F116" s="115">
        <v>266</v>
      </c>
      <c r="G116" s="102" t="s">
        <v>523</v>
      </c>
      <c r="H116" s="118">
        <f>SUM(I116:J116)</f>
        <v>15000</v>
      </c>
      <c r="I116" s="125"/>
      <c r="J116" s="125">
        <v>15000</v>
      </c>
      <c r="K116" s="113"/>
      <c r="L116" s="113"/>
      <c r="M116" s="113"/>
      <c r="N116" s="113"/>
    </row>
    <row r="117" spans="1:14" s="8" customFormat="1" ht="16.5" customHeight="1">
      <c r="A117" s="142" t="s">
        <v>299</v>
      </c>
      <c r="B117" s="115"/>
      <c r="C117" s="115">
        <v>266</v>
      </c>
      <c r="D117" s="115">
        <v>901160000</v>
      </c>
      <c r="E117" s="115">
        <v>111</v>
      </c>
      <c r="F117" s="115">
        <v>266</v>
      </c>
      <c r="G117" s="102" t="s">
        <v>523</v>
      </c>
      <c r="H117" s="118">
        <f>SUM(I117:J117)</f>
        <v>6775.84</v>
      </c>
      <c r="I117" s="125"/>
      <c r="J117" s="125">
        <f>4775.84+2000</f>
        <v>6775.84</v>
      </c>
      <c r="K117" s="113"/>
      <c r="L117" s="113"/>
      <c r="M117" s="113"/>
      <c r="N117" s="113"/>
    </row>
    <row r="118" spans="1:14" s="8" customFormat="1" ht="16.5" customHeight="1" hidden="1">
      <c r="A118" s="142" t="s">
        <v>298</v>
      </c>
      <c r="B118" s="487"/>
      <c r="C118" s="115">
        <v>266</v>
      </c>
      <c r="D118" s="489">
        <v>901480000</v>
      </c>
      <c r="E118" s="115">
        <v>111</v>
      </c>
      <c r="F118" s="115">
        <v>266</v>
      </c>
      <c r="G118" s="500" t="s">
        <v>523</v>
      </c>
      <c r="H118" s="491">
        <f>I118+J118+K118+L118+M118+N118</f>
        <v>0</v>
      </c>
      <c r="I118" s="485">
        <v>0</v>
      </c>
      <c r="J118" s="486"/>
      <c r="K118" s="113"/>
      <c r="L118" s="113"/>
      <c r="M118" s="113"/>
      <c r="N118" s="113"/>
    </row>
    <row r="119" spans="1:14" s="8" customFormat="1" ht="16.5" customHeight="1" hidden="1">
      <c r="A119" s="142" t="s">
        <v>298</v>
      </c>
      <c r="B119" s="487"/>
      <c r="C119" s="115">
        <v>266</v>
      </c>
      <c r="D119" s="489">
        <v>901160000</v>
      </c>
      <c r="E119" s="115">
        <v>111</v>
      </c>
      <c r="F119" s="115">
        <v>266</v>
      </c>
      <c r="G119" s="500" t="s">
        <v>523</v>
      </c>
      <c r="H119" s="491">
        <f>I119+J119+K119+L119+M119+N119</f>
        <v>0</v>
      </c>
      <c r="I119" s="485">
        <v>0</v>
      </c>
      <c r="J119" s="486"/>
      <c r="K119" s="113"/>
      <c r="L119" s="113"/>
      <c r="M119" s="113"/>
      <c r="N119" s="113"/>
    </row>
    <row r="120" spans="1:14" s="8" customFormat="1" ht="16.5" customHeight="1">
      <c r="A120" s="142" t="s">
        <v>298</v>
      </c>
      <c r="B120" s="487"/>
      <c r="C120" s="115">
        <v>266</v>
      </c>
      <c r="D120" s="489">
        <v>901830000</v>
      </c>
      <c r="E120" s="115">
        <v>111</v>
      </c>
      <c r="F120" s="115">
        <v>266</v>
      </c>
      <c r="G120" s="500" t="s">
        <v>523</v>
      </c>
      <c r="H120" s="491">
        <f>I120+J120+K120+L120+M120+N120</f>
        <v>1000</v>
      </c>
      <c r="I120" s="485">
        <v>0</v>
      </c>
      <c r="J120" s="486">
        <v>1000</v>
      </c>
      <c r="K120" s="113"/>
      <c r="L120" s="113"/>
      <c r="M120" s="113"/>
      <c r="N120" s="113"/>
    </row>
    <row r="121" spans="1:14" s="8" customFormat="1" ht="16.5" customHeight="1">
      <c r="A121" s="142" t="s">
        <v>300</v>
      </c>
      <c r="B121" s="487"/>
      <c r="C121" s="392">
        <v>266</v>
      </c>
      <c r="D121" s="488" t="s">
        <v>522</v>
      </c>
      <c r="E121" s="392">
        <v>112</v>
      </c>
      <c r="F121" s="392">
        <v>266</v>
      </c>
      <c r="G121" s="490" t="s">
        <v>825</v>
      </c>
      <c r="H121" s="491">
        <f aca="true" t="shared" si="4" ref="H121:H132">I121+J121+K121+L121+M121+N121</f>
        <v>778.3</v>
      </c>
      <c r="I121" s="486">
        <v>778.3</v>
      </c>
      <c r="J121" s="125"/>
      <c r="K121" s="113"/>
      <c r="L121" s="113"/>
      <c r="M121" s="113"/>
      <c r="N121" s="113"/>
    </row>
    <row r="122" spans="1:14" s="8" customFormat="1" ht="16.5" customHeight="1">
      <c r="A122" s="142" t="s">
        <v>300</v>
      </c>
      <c r="B122" s="487"/>
      <c r="C122" s="392">
        <v>266</v>
      </c>
      <c r="D122" s="488" t="s">
        <v>522</v>
      </c>
      <c r="E122" s="392">
        <v>112</v>
      </c>
      <c r="F122" s="392">
        <v>266</v>
      </c>
      <c r="G122" s="490" t="s">
        <v>523</v>
      </c>
      <c r="H122" s="491">
        <f t="shared" si="4"/>
        <v>555</v>
      </c>
      <c r="I122" s="486">
        <v>555</v>
      </c>
      <c r="J122" s="125"/>
      <c r="K122" s="113"/>
      <c r="L122" s="113"/>
      <c r="M122" s="113"/>
      <c r="N122" s="113"/>
    </row>
    <row r="123" spans="1:14" s="8" customFormat="1" ht="54" customHeight="1">
      <c r="A123" s="142" t="s">
        <v>300</v>
      </c>
      <c r="B123" s="115"/>
      <c r="C123" s="115">
        <v>266</v>
      </c>
      <c r="D123" s="115">
        <v>901480000</v>
      </c>
      <c r="E123" s="115">
        <v>112</v>
      </c>
      <c r="F123" s="115">
        <v>266</v>
      </c>
      <c r="G123" s="117" t="s">
        <v>523</v>
      </c>
      <c r="H123" s="178">
        <f t="shared" si="4"/>
        <v>200000</v>
      </c>
      <c r="I123" s="179"/>
      <c r="J123" s="179">
        <v>200000</v>
      </c>
      <c r="K123" s="113"/>
      <c r="L123" s="113"/>
      <c r="M123" s="113"/>
      <c r="N123" s="113"/>
    </row>
    <row r="124" spans="1:14" s="8" customFormat="1" ht="54" customHeight="1" hidden="1">
      <c r="A124" s="142" t="s">
        <v>842</v>
      </c>
      <c r="B124" s="487"/>
      <c r="C124" s="392">
        <v>266</v>
      </c>
      <c r="D124" s="489">
        <v>901480000</v>
      </c>
      <c r="E124" s="392">
        <v>112</v>
      </c>
      <c r="F124" s="392">
        <v>266</v>
      </c>
      <c r="G124" s="500" t="s">
        <v>523</v>
      </c>
      <c r="H124" s="491">
        <f t="shared" si="4"/>
        <v>0</v>
      </c>
      <c r="I124" s="485">
        <v>0</v>
      </c>
      <c r="J124" s="486"/>
      <c r="K124" s="113"/>
      <c r="L124" s="113"/>
      <c r="M124" s="113"/>
      <c r="N124" s="113"/>
    </row>
    <row r="125" spans="1:14" s="8" customFormat="1" ht="54" customHeight="1">
      <c r="A125" s="142" t="s">
        <v>300</v>
      </c>
      <c r="B125" s="115"/>
      <c r="C125" s="115">
        <v>266</v>
      </c>
      <c r="D125" s="115">
        <v>901170000</v>
      </c>
      <c r="E125" s="115">
        <v>112</v>
      </c>
      <c r="F125" s="115">
        <v>266</v>
      </c>
      <c r="G125" s="117" t="s">
        <v>849</v>
      </c>
      <c r="H125" s="178">
        <f t="shared" si="4"/>
        <v>90000</v>
      </c>
      <c r="I125" s="179"/>
      <c r="J125" s="179">
        <v>90000</v>
      </c>
      <c r="K125" s="113"/>
      <c r="L125" s="113"/>
      <c r="M125" s="113"/>
      <c r="N125" s="113"/>
    </row>
    <row r="126" spans="1:14" s="8" customFormat="1" ht="54" customHeight="1">
      <c r="A126" s="114" t="s">
        <v>838</v>
      </c>
      <c r="B126" s="115"/>
      <c r="C126" s="115">
        <v>267</v>
      </c>
      <c r="D126" s="115">
        <v>901030000</v>
      </c>
      <c r="E126" s="115">
        <v>112</v>
      </c>
      <c r="F126" s="115">
        <v>267</v>
      </c>
      <c r="G126" s="500" t="s">
        <v>839</v>
      </c>
      <c r="H126" s="178">
        <f t="shared" si="4"/>
        <v>18079.2</v>
      </c>
      <c r="I126" s="179"/>
      <c r="J126" s="179">
        <f>9039.6*2</f>
        <v>18079.2</v>
      </c>
      <c r="K126" s="113"/>
      <c r="L126" s="113"/>
      <c r="M126" s="113"/>
      <c r="N126" s="113"/>
    </row>
    <row r="127" spans="1:14" s="8" customFormat="1" ht="54" customHeight="1">
      <c r="A127" s="114" t="s">
        <v>840</v>
      </c>
      <c r="B127" s="115"/>
      <c r="C127" s="115">
        <v>267</v>
      </c>
      <c r="D127" s="115">
        <v>901490000</v>
      </c>
      <c r="E127" s="115">
        <v>112</v>
      </c>
      <c r="F127" s="115">
        <v>267</v>
      </c>
      <c r="G127" s="500" t="s">
        <v>839</v>
      </c>
      <c r="H127" s="178">
        <f t="shared" si="4"/>
        <v>24105.6</v>
      </c>
      <c r="I127" s="179"/>
      <c r="J127" s="179">
        <f>12052.8*2</f>
        <v>24105.6</v>
      </c>
      <c r="K127" s="113"/>
      <c r="L127" s="113"/>
      <c r="M127" s="113"/>
      <c r="N127" s="113"/>
    </row>
    <row r="128" spans="1:14" s="8" customFormat="1" ht="54" customHeight="1" hidden="1">
      <c r="A128" s="114" t="s">
        <v>838</v>
      </c>
      <c r="B128" s="489"/>
      <c r="C128" s="489">
        <v>267</v>
      </c>
      <c r="D128" s="489">
        <v>901030000</v>
      </c>
      <c r="E128" s="489">
        <v>112</v>
      </c>
      <c r="F128" s="489">
        <v>267</v>
      </c>
      <c r="G128" s="500" t="s">
        <v>839</v>
      </c>
      <c r="H128" s="491">
        <f t="shared" si="4"/>
        <v>0</v>
      </c>
      <c r="I128" s="485">
        <v>0</v>
      </c>
      <c r="J128" s="485"/>
      <c r="K128" s="113"/>
      <c r="L128" s="113"/>
      <c r="M128" s="113"/>
      <c r="N128" s="113"/>
    </row>
    <row r="129" spans="1:14" s="8" customFormat="1" ht="54" customHeight="1" hidden="1">
      <c r="A129" s="114" t="s">
        <v>840</v>
      </c>
      <c r="B129" s="489"/>
      <c r="C129" s="489">
        <v>267</v>
      </c>
      <c r="D129" s="489">
        <v>901490000</v>
      </c>
      <c r="E129" s="489">
        <v>112</v>
      </c>
      <c r="F129" s="489">
        <v>267</v>
      </c>
      <c r="G129" s="500" t="s">
        <v>839</v>
      </c>
      <c r="H129" s="491">
        <f t="shared" si="4"/>
        <v>0</v>
      </c>
      <c r="I129" s="485">
        <v>0</v>
      </c>
      <c r="J129" s="485"/>
      <c r="K129" s="113"/>
      <c r="L129" s="113"/>
      <c r="M129" s="113"/>
      <c r="N129" s="113"/>
    </row>
    <row r="130" spans="1:14" s="8" customFormat="1" ht="15.75" customHeight="1">
      <c r="A130" s="142" t="s">
        <v>301</v>
      </c>
      <c r="B130" s="115"/>
      <c r="C130" s="115">
        <v>213</v>
      </c>
      <c r="D130" s="116" t="s">
        <v>522</v>
      </c>
      <c r="E130" s="115">
        <v>119</v>
      </c>
      <c r="F130" s="115">
        <v>213</v>
      </c>
      <c r="G130" s="102" t="s">
        <v>523</v>
      </c>
      <c r="H130" s="118">
        <f t="shared" si="4"/>
        <v>6076791.86</v>
      </c>
      <c r="I130" s="125">
        <f>5454169.51+68460.67-37278.14+595342.46-3902.64</f>
        <v>6076791.86</v>
      </c>
      <c r="J130" s="125"/>
      <c r="K130" s="113"/>
      <c r="L130" s="113"/>
      <c r="M130" s="113"/>
      <c r="N130" s="113"/>
    </row>
    <row r="131" spans="1:14" s="8" customFormat="1" ht="15.75" customHeight="1">
      <c r="A131" s="142" t="s">
        <v>301</v>
      </c>
      <c r="B131" s="487"/>
      <c r="C131" s="489">
        <v>213</v>
      </c>
      <c r="D131" s="488" t="s">
        <v>522</v>
      </c>
      <c r="E131" s="489">
        <v>119</v>
      </c>
      <c r="F131" s="489">
        <v>213</v>
      </c>
      <c r="G131" s="490" t="s">
        <v>825</v>
      </c>
      <c r="H131" s="491">
        <f t="shared" si="4"/>
        <v>2501977.57</v>
      </c>
      <c r="I131" s="486">
        <v>2501977.57</v>
      </c>
      <c r="J131" s="125"/>
      <c r="K131" s="113"/>
      <c r="L131" s="113"/>
      <c r="M131" s="113"/>
      <c r="N131" s="113"/>
    </row>
    <row r="132" spans="1:14" s="8" customFormat="1" ht="15.75" customHeight="1" hidden="1">
      <c r="A132" s="142" t="s">
        <v>301</v>
      </c>
      <c r="B132" s="487"/>
      <c r="C132" s="487">
        <v>213</v>
      </c>
      <c r="D132" s="488" t="s">
        <v>522</v>
      </c>
      <c r="E132" s="489">
        <v>119</v>
      </c>
      <c r="F132" s="489">
        <v>213</v>
      </c>
      <c r="G132" s="490" t="s">
        <v>523</v>
      </c>
      <c r="H132" s="491">
        <f t="shared" si="4"/>
        <v>0</v>
      </c>
      <c r="I132" s="486"/>
      <c r="J132" s="125"/>
      <c r="K132" s="113"/>
      <c r="L132" s="113"/>
      <c r="M132" s="113"/>
      <c r="N132" s="113"/>
    </row>
    <row r="133" spans="1:14" s="8" customFormat="1" ht="15.75" customHeight="1">
      <c r="A133" s="142" t="s">
        <v>301</v>
      </c>
      <c r="B133" s="115"/>
      <c r="C133" s="115">
        <v>213</v>
      </c>
      <c r="D133" s="115">
        <v>901480000</v>
      </c>
      <c r="E133" s="115">
        <v>119</v>
      </c>
      <c r="F133" s="115">
        <v>213</v>
      </c>
      <c r="G133" s="102" t="s">
        <v>523</v>
      </c>
      <c r="H133" s="118">
        <f>SUM(I133:J133)</f>
        <v>588717.19</v>
      </c>
      <c r="I133" s="125"/>
      <c r="J133" s="125">
        <f>390087.28-2319.51+94932.3+106017.12</f>
        <v>588717.19</v>
      </c>
      <c r="K133" s="113"/>
      <c r="L133" s="113"/>
      <c r="M133" s="113"/>
      <c r="N133" s="113"/>
    </row>
    <row r="134" spans="1:14" s="8" customFormat="1" ht="15.75" customHeight="1">
      <c r="A134" s="142" t="s">
        <v>301</v>
      </c>
      <c r="B134" s="115"/>
      <c r="C134" s="115">
        <v>213</v>
      </c>
      <c r="D134" s="115">
        <v>901160000</v>
      </c>
      <c r="E134" s="115">
        <v>119</v>
      </c>
      <c r="F134" s="115">
        <v>213</v>
      </c>
      <c r="G134" s="102" t="s">
        <v>523</v>
      </c>
      <c r="H134" s="118">
        <f>SUM(I134:J134)</f>
        <v>256628.67</v>
      </c>
      <c r="I134" s="125"/>
      <c r="J134" s="125">
        <f>220270.73-1107.76+8392.73+29072.97</f>
        <v>256628.67</v>
      </c>
      <c r="K134" s="113"/>
      <c r="L134" s="113"/>
      <c r="M134" s="113"/>
      <c r="N134" s="113"/>
    </row>
    <row r="135" spans="1:14" s="8" customFormat="1" ht="15.75" customHeight="1">
      <c r="A135" s="142" t="s">
        <v>301</v>
      </c>
      <c r="B135" s="115"/>
      <c r="C135" s="115">
        <v>213</v>
      </c>
      <c r="D135" s="115">
        <v>901830000</v>
      </c>
      <c r="E135" s="115">
        <v>119</v>
      </c>
      <c r="F135" s="115">
        <v>213</v>
      </c>
      <c r="G135" s="102" t="s">
        <v>523</v>
      </c>
      <c r="H135" s="118">
        <f>SUM(I135:J135)</f>
        <v>159805.66999999998</v>
      </c>
      <c r="I135" s="125"/>
      <c r="J135" s="125">
        <f>123498.88-2.1+9306.89-1.03+27003.03</f>
        <v>159805.66999999998</v>
      </c>
      <c r="K135" s="113"/>
      <c r="L135" s="113"/>
      <c r="M135" s="113"/>
      <c r="N135" s="113"/>
    </row>
    <row r="136" spans="1:14" s="8" customFormat="1" ht="15.75" customHeight="1" hidden="1">
      <c r="A136" s="142" t="s">
        <v>301</v>
      </c>
      <c r="B136" s="487"/>
      <c r="C136" s="489">
        <v>213</v>
      </c>
      <c r="D136" s="489">
        <v>901480000</v>
      </c>
      <c r="E136" s="489">
        <v>119</v>
      </c>
      <c r="F136" s="489">
        <v>213</v>
      </c>
      <c r="G136" s="500" t="s">
        <v>523</v>
      </c>
      <c r="H136" s="491">
        <f>I136+J136+K136+L136+M136+N136</f>
        <v>0</v>
      </c>
      <c r="I136" s="485">
        <v>0</v>
      </c>
      <c r="J136" s="486"/>
      <c r="K136" s="113"/>
      <c r="L136" s="113"/>
      <c r="M136" s="113"/>
      <c r="N136" s="113"/>
    </row>
    <row r="137" spans="1:14" s="8" customFormat="1" ht="15.75" customHeight="1" hidden="1">
      <c r="A137" s="142" t="s">
        <v>301</v>
      </c>
      <c r="B137" s="487"/>
      <c r="C137" s="489">
        <v>213</v>
      </c>
      <c r="D137" s="489">
        <v>901160000</v>
      </c>
      <c r="E137" s="489">
        <v>119</v>
      </c>
      <c r="F137" s="489">
        <v>213</v>
      </c>
      <c r="G137" s="500" t="s">
        <v>523</v>
      </c>
      <c r="H137" s="491">
        <f>I137+J137+K137+L137+M137+N137</f>
        <v>0</v>
      </c>
      <c r="I137" s="485">
        <v>0</v>
      </c>
      <c r="J137" s="486"/>
      <c r="K137" s="113"/>
      <c r="L137" s="113"/>
      <c r="M137" s="113"/>
      <c r="N137" s="113"/>
    </row>
    <row r="138" spans="1:14" s="8" customFormat="1" ht="15.75" customHeight="1" hidden="1">
      <c r="A138" s="142" t="s">
        <v>301</v>
      </c>
      <c r="B138" s="487"/>
      <c r="C138" s="489">
        <v>213</v>
      </c>
      <c r="D138" s="489">
        <v>901830000</v>
      </c>
      <c r="E138" s="489">
        <v>119</v>
      </c>
      <c r="F138" s="489">
        <v>213</v>
      </c>
      <c r="G138" s="500" t="s">
        <v>523</v>
      </c>
      <c r="H138" s="491">
        <f>I138+J138+K138+L138+M138+N138</f>
        <v>0</v>
      </c>
      <c r="I138" s="485">
        <v>0</v>
      </c>
      <c r="J138" s="486"/>
      <c r="K138" s="113"/>
      <c r="L138" s="113"/>
      <c r="M138" s="113"/>
      <c r="N138" s="113"/>
    </row>
    <row r="139" spans="1:14" s="8" customFormat="1" ht="15.75" customHeight="1">
      <c r="A139" s="142" t="s">
        <v>301</v>
      </c>
      <c r="B139" s="487"/>
      <c r="C139" s="487">
        <v>213</v>
      </c>
      <c r="D139" s="498" t="s">
        <v>521</v>
      </c>
      <c r="E139" s="489">
        <v>119</v>
      </c>
      <c r="F139" s="489">
        <v>213</v>
      </c>
      <c r="G139" s="492" t="s">
        <v>530</v>
      </c>
      <c r="H139" s="491">
        <f>I139+J139+K139+L139+M139+N139</f>
        <v>111740</v>
      </c>
      <c r="I139" s="485">
        <v>0</v>
      </c>
      <c r="J139" s="485">
        <v>0</v>
      </c>
      <c r="K139" s="499">
        <v>0</v>
      </c>
      <c r="L139" s="499">
        <v>0</v>
      </c>
      <c r="M139" s="497">
        <v>111740</v>
      </c>
      <c r="N139" s="113"/>
    </row>
    <row r="140" spans="1:14" s="8" customFormat="1" ht="15.75" customHeight="1">
      <c r="A140" s="142" t="s">
        <v>301</v>
      </c>
      <c r="B140" s="115"/>
      <c r="C140" s="115">
        <v>213</v>
      </c>
      <c r="D140" s="116" t="s">
        <v>521</v>
      </c>
      <c r="E140" s="115">
        <v>119</v>
      </c>
      <c r="F140" s="115">
        <v>213</v>
      </c>
      <c r="G140" s="102" t="s">
        <v>530</v>
      </c>
      <c r="H140" s="118">
        <f>SUM(I140:M140)</f>
        <v>1616957.65</v>
      </c>
      <c r="I140" s="125"/>
      <c r="J140" s="125"/>
      <c r="K140" s="113"/>
      <c r="L140" s="113"/>
      <c r="M140" s="113">
        <v>1616957.65</v>
      </c>
      <c r="N140" s="113"/>
    </row>
    <row r="141" spans="1:14" s="161" customFormat="1" ht="23.25" customHeight="1">
      <c r="A141" s="156" t="s">
        <v>399</v>
      </c>
      <c r="B141" s="157">
        <v>220</v>
      </c>
      <c r="C141" s="157"/>
      <c r="D141" s="157"/>
      <c r="E141" s="157"/>
      <c r="F141" s="157"/>
      <c r="G141" s="157"/>
      <c r="H141" s="162">
        <f>SUM(I141:M141)</f>
        <v>1852755.2</v>
      </c>
      <c r="I141" s="163">
        <f>SUM(I143:I151)</f>
        <v>126825.3</v>
      </c>
      <c r="J141" s="163">
        <f>SUM(J143:J152)</f>
        <v>1725929.9</v>
      </c>
      <c r="K141" s="163">
        <f>K143+K146+K152+K153+K154</f>
        <v>0</v>
      </c>
      <c r="L141" s="163">
        <f>L143+L146+L152+L153+L154</f>
        <v>0</v>
      </c>
      <c r="M141" s="163">
        <f>M143+M146+M152+M153+M154</f>
        <v>0</v>
      </c>
      <c r="N141" s="163">
        <f>N143+N146+N152+N153+N154</f>
        <v>0</v>
      </c>
    </row>
    <row r="142" spans="1:14" s="8" customFormat="1" ht="13.5" customHeight="1">
      <c r="A142" s="142" t="s">
        <v>3</v>
      </c>
      <c r="B142" s="115"/>
      <c r="C142" s="115"/>
      <c r="D142" s="115"/>
      <c r="E142" s="115"/>
      <c r="F142" s="115"/>
      <c r="G142" s="122"/>
      <c r="H142" s="118"/>
      <c r="I142" s="125"/>
      <c r="J142" s="125"/>
      <c r="K142" s="113"/>
      <c r="L142" s="113"/>
      <c r="M142" s="113"/>
      <c r="N142" s="113"/>
    </row>
    <row r="143" spans="1:14" s="8" customFormat="1" ht="39" customHeight="1">
      <c r="A143" s="143" t="s">
        <v>302</v>
      </c>
      <c r="B143" s="144"/>
      <c r="C143" s="145">
        <v>263</v>
      </c>
      <c r="D143" s="115">
        <v>901140000</v>
      </c>
      <c r="E143" s="115">
        <v>323</v>
      </c>
      <c r="F143" s="145">
        <v>263</v>
      </c>
      <c r="G143" s="117" t="s">
        <v>523</v>
      </c>
      <c r="H143" s="118">
        <f aca="true" t="shared" si="5" ref="H143:H154">I143+J143+K143+L143+M143+N143</f>
        <v>182055.91999999998</v>
      </c>
      <c r="I143" s="125"/>
      <c r="J143" s="125">
        <f>124511+57544.92</f>
        <v>182055.91999999998</v>
      </c>
      <c r="K143" s="113"/>
      <c r="L143" s="113"/>
      <c r="M143" s="113"/>
      <c r="N143" s="113"/>
    </row>
    <row r="144" spans="1:14" s="8" customFormat="1" ht="39" customHeight="1">
      <c r="A144" s="143" t="s">
        <v>302</v>
      </c>
      <c r="B144" s="144"/>
      <c r="C144" s="145">
        <v>263</v>
      </c>
      <c r="D144" s="115">
        <v>901150000</v>
      </c>
      <c r="E144" s="115">
        <v>323</v>
      </c>
      <c r="F144" s="145">
        <v>263</v>
      </c>
      <c r="G144" s="117" t="s">
        <v>523</v>
      </c>
      <c r="H144" s="118">
        <f t="shared" si="5"/>
        <v>517204.98</v>
      </c>
      <c r="I144" s="125"/>
      <c r="J144" s="125">
        <f>449289.98+67915</f>
        <v>517204.98</v>
      </c>
      <c r="K144" s="113"/>
      <c r="L144" s="113"/>
      <c r="M144" s="113"/>
      <c r="N144" s="113"/>
    </row>
    <row r="145" spans="1:14" s="8" customFormat="1" ht="39" customHeight="1">
      <c r="A145" s="143" t="s">
        <v>302</v>
      </c>
      <c r="B145" s="144"/>
      <c r="C145" s="145">
        <v>263</v>
      </c>
      <c r="D145" s="115">
        <v>901210000</v>
      </c>
      <c r="E145" s="147">
        <v>323</v>
      </c>
      <c r="F145" s="145">
        <v>263</v>
      </c>
      <c r="G145" s="117" t="s">
        <v>518</v>
      </c>
      <c r="H145" s="118">
        <f t="shared" si="5"/>
        <v>982310</v>
      </c>
      <c r="I145" s="125"/>
      <c r="J145" s="125">
        <f>876777+105533</f>
        <v>982310</v>
      </c>
      <c r="K145" s="113"/>
      <c r="L145" s="113"/>
      <c r="M145" s="113"/>
      <c r="N145" s="113"/>
    </row>
    <row r="146" spans="1:14" s="8" customFormat="1" ht="32.25" customHeight="1">
      <c r="A146" s="136" t="s">
        <v>39</v>
      </c>
      <c r="B146" s="115"/>
      <c r="C146" s="115">
        <v>262</v>
      </c>
      <c r="D146" s="115">
        <v>901140000</v>
      </c>
      <c r="E146" s="115">
        <v>321</v>
      </c>
      <c r="F146" s="115">
        <v>262</v>
      </c>
      <c r="G146" s="146" t="s">
        <v>523</v>
      </c>
      <c r="H146" s="118">
        <f t="shared" si="5"/>
        <v>44359</v>
      </c>
      <c r="I146" s="125"/>
      <c r="J146" s="125">
        <f>30497+13862</f>
        <v>44359</v>
      </c>
      <c r="K146" s="113"/>
      <c r="L146" s="113"/>
      <c r="M146" s="113"/>
      <c r="N146" s="113"/>
    </row>
    <row r="147" spans="1:14" s="8" customFormat="1" ht="32.25" customHeight="1" hidden="1">
      <c r="A147" s="143" t="s">
        <v>302</v>
      </c>
      <c r="B147" s="503"/>
      <c r="C147" s="504">
        <v>262</v>
      </c>
      <c r="D147" s="489">
        <v>901140000</v>
      </c>
      <c r="E147" s="505">
        <v>321</v>
      </c>
      <c r="F147" s="504">
        <v>262</v>
      </c>
      <c r="G147" s="500" t="s">
        <v>523</v>
      </c>
      <c r="H147" s="491">
        <f t="shared" si="5"/>
        <v>0</v>
      </c>
      <c r="I147" s="485">
        <v>0</v>
      </c>
      <c r="J147" s="486"/>
      <c r="K147" s="113"/>
      <c r="L147" s="113"/>
      <c r="M147" s="113"/>
      <c r="N147" s="113"/>
    </row>
    <row r="148" spans="1:14" s="8" customFormat="1" ht="32.25" customHeight="1" hidden="1">
      <c r="A148" s="114" t="s">
        <v>833</v>
      </c>
      <c r="B148" s="487"/>
      <c r="C148" s="489">
        <v>263</v>
      </c>
      <c r="D148" s="489">
        <v>901140000</v>
      </c>
      <c r="E148" s="489">
        <v>323</v>
      </c>
      <c r="F148" s="489">
        <v>263</v>
      </c>
      <c r="G148" s="500" t="s">
        <v>523</v>
      </c>
      <c r="H148" s="491">
        <f t="shared" si="5"/>
        <v>0</v>
      </c>
      <c r="I148" s="485">
        <v>0</v>
      </c>
      <c r="J148" s="486"/>
      <c r="K148" s="113"/>
      <c r="L148" s="113"/>
      <c r="M148" s="113"/>
      <c r="N148" s="113"/>
    </row>
    <row r="149" spans="1:14" s="8" customFormat="1" ht="32.25" customHeight="1" hidden="1">
      <c r="A149" s="114" t="s">
        <v>835</v>
      </c>
      <c r="B149" s="487"/>
      <c r="C149" s="489">
        <v>263</v>
      </c>
      <c r="D149" s="489">
        <v>901150000</v>
      </c>
      <c r="E149" s="489">
        <v>323</v>
      </c>
      <c r="F149" s="489">
        <v>263</v>
      </c>
      <c r="G149" s="500" t="s">
        <v>523</v>
      </c>
      <c r="H149" s="491">
        <f t="shared" si="5"/>
        <v>0</v>
      </c>
      <c r="I149" s="485">
        <v>0</v>
      </c>
      <c r="J149" s="486"/>
      <c r="K149" s="113"/>
      <c r="L149" s="113"/>
      <c r="M149" s="113"/>
      <c r="N149" s="113"/>
    </row>
    <row r="150" spans="1:14" s="8" customFormat="1" ht="32.25" customHeight="1" hidden="1">
      <c r="A150" s="114" t="s">
        <v>241</v>
      </c>
      <c r="B150" s="487"/>
      <c r="C150" s="489">
        <v>263</v>
      </c>
      <c r="D150" s="502">
        <v>901210000</v>
      </c>
      <c r="E150" s="489">
        <v>323</v>
      </c>
      <c r="F150" s="489">
        <v>263</v>
      </c>
      <c r="G150" s="492" t="s">
        <v>518</v>
      </c>
      <c r="H150" s="491">
        <f t="shared" si="5"/>
        <v>0</v>
      </c>
      <c r="I150" s="485">
        <v>0</v>
      </c>
      <c r="J150" s="486"/>
      <c r="K150" s="113"/>
      <c r="L150" s="113"/>
      <c r="M150" s="113"/>
      <c r="N150" s="113"/>
    </row>
    <row r="151" spans="1:14" s="8" customFormat="1" ht="38.25" customHeight="1">
      <c r="A151" s="404" t="s">
        <v>760</v>
      </c>
      <c r="B151" s="115"/>
      <c r="C151" s="115">
        <v>264</v>
      </c>
      <c r="D151" s="115">
        <v>800000000</v>
      </c>
      <c r="E151" s="115">
        <v>321</v>
      </c>
      <c r="F151" s="115">
        <v>264</v>
      </c>
      <c r="G151" s="146" t="s">
        <v>523</v>
      </c>
      <c r="H151" s="118">
        <f t="shared" si="5"/>
        <v>126825.3</v>
      </c>
      <c r="I151" s="125">
        <f>110000+16825.3</f>
        <v>126825.3</v>
      </c>
      <c r="J151" s="125"/>
      <c r="K151" s="113"/>
      <c r="L151" s="113"/>
      <c r="M151" s="113"/>
      <c r="N151" s="113"/>
    </row>
    <row r="152" spans="1:14" s="8" customFormat="1" ht="15.75" customHeight="1">
      <c r="A152" s="136" t="s">
        <v>303</v>
      </c>
      <c r="B152" s="115"/>
      <c r="C152" s="115"/>
      <c r="D152" s="115"/>
      <c r="E152" s="115"/>
      <c r="F152" s="115"/>
      <c r="G152" s="122"/>
      <c r="H152" s="118">
        <f t="shared" si="5"/>
        <v>0</v>
      </c>
      <c r="I152" s="125"/>
      <c r="J152" s="125"/>
      <c r="K152" s="113"/>
      <c r="L152" s="113"/>
      <c r="M152" s="113"/>
      <c r="N152" s="113"/>
    </row>
    <row r="153" spans="1:14" s="8" customFormat="1" ht="15.75" customHeight="1">
      <c r="A153" s="136" t="s">
        <v>304</v>
      </c>
      <c r="B153" s="115"/>
      <c r="C153" s="115">
        <v>290</v>
      </c>
      <c r="D153" s="115"/>
      <c r="E153" s="115">
        <v>350</v>
      </c>
      <c r="F153" s="115">
        <v>290</v>
      </c>
      <c r="G153" s="122"/>
      <c r="H153" s="118">
        <f t="shared" si="5"/>
        <v>0</v>
      </c>
      <c r="I153" s="125"/>
      <c r="J153" s="125"/>
      <c r="K153" s="113"/>
      <c r="L153" s="113"/>
      <c r="M153" s="113"/>
      <c r="N153" s="113"/>
    </row>
    <row r="154" spans="1:14" s="8" customFormat="1" ht="15.75" customHeight="1">
      <c r="A154" s="136" t="s">
        <v>305</v>
      </c>
      <c r="B154" s="115"/>
      <c r="C154" s="115"/>
      <c r="D154" s="115"/>
      <c r="E154" s="115"/>
      <c r="F154" s="115"/>
      <c r="G154" s="122"/>
      <c r="H154" s="118">
        <f t="shared" si="5"/>
        <v>0</v>
      </c>
      <c r="I154" s="125"/>
      <c r="J154" s="125"/>
      <c r="K154" s="113"/>
      <c r="L154" s="113"/>
      <c r="M154" s="113"/>
      <c r="N154" s="113"/>
    </row>
    <row r="155" spans="1:14" s="161" customFormat="1" ht="21.75" customHeight="1">
      <c r="A155" s="164" t="s">
        <v>306</v>
      </c>
      <c r="B155" s="157">
        <v>230</v>
      </c>
      <c r="C155" s="157"/>
      <c r="D155" s="157"/>
      <c r="E155" s="157"/>
      <c r="F155" s="157"/>
      <c r="G155" s="158"/>
      <c r="H155" s="159">
        <f>H156</f>
        <v>4507383</v>
      </c>
      <c r="I155" s="159">
        <f>I156</f>
        <v>4045637</v>
      </c>
      <c r="J155" s="159">
        <f>J156</f>
        <v>0</v>
      </c>
      <c r="K155" s="160">
        <f>K156+K159</f>
        <v>0</v>
      </c>
      <c r="L155" s="160">
        <f>L156+L159</f>
        <v>0</v>
      </c>
      <c r="M155" s="159">
        <f>M156</f>
        <v>461746</v>
      </c>
      <c r="N155" s="159">
        <f>N156</f>
        <v>0</v>
      </c>
    </row>
    <row r="156" spans="1:14" s="8" customFormat="1" ht="15.75" customHeight="1">
      <c r="A156" s="142" t="s">
        <v>3</v>
      </c>
      <c r="B156" s="115"/>
      <c r="C156" s="115"/>
      <c r="D156" s="115"/>
      <c r="E156" s="115"/>
      <c r="F156" s="115"/>
      <c r="G156" s="122"/>
      <c r="H156" s="118">
        <f>H157+H158</f>
        <v>4507383</v>
      </c>
      <c r="I156" s="125">
        <f aca="true" t="shared" si="6" ref="I156:N156">I157+I158</f>
        <v>4045637</v>
      </c>
      <c r="J156" s="125">
        <f t="shared" si="6"/>
        <v>0</v>
      </c>
      <c r="K156" s="125">
        <f t="shared" si="6"/>
        <v>0</v>
      </c>
      <c r="L156" s="125">
        <f t="shared" si="6"/>
        <v>0</v>
      </c>
      <c r="M156" s="125">
        <f>M157+M158</f>
        <v>461746</v>
      </c>
      <c r="N156" s="125">
        <f t="shared" si="6"/>
        <v>0</v>
      </c>
    </row>
    <row r="157" spans="1:14" s="8" customFormat="1" ht="15.75" customHeight="1">
      <c r="A157" s="142" t="s">
        <v>307</v>
      </c>
      <c r="B157" s="115"/>
      <c r="C157" s="115">
        <v>290</v>
      </c>
      <c r="D157" s="115"/>
      <c r="E157" s="115">
        <v>831</v>
      </c>
      <c r="F157" s="115">
        <v>290</v>
      </c>
      <c r="G157" s="122"/>
      <c r="H157" s="118">
        <f>I157+J157+K157+L157+M157+N157</f>
        <v>0</v>
      </c>
      <c r="I157" s="125"/>
      <c r="J157" s="125"/>
      <c r="K157" s="113"/>
      <c r="L157" s="113"/>
      <c r="M157" s="113"/>
      <c r="N157" s="113"/>
    </row>
    <row r="158" spans="1:14" s="8" customFormat="1" ht="15.75" customHeight="1">
      <c r="A158" s="142" t="s">
        <v>308</v>
      </c>
      <c r="B158" s="115"/>
      <c r="C158" s="115">
        <v>290</v>
      </c>
      <c r="D158" s="115"/>
      <c r="E158" s="115">
        <v>850</v>
      </c>
      <c r="F158" s="115">
        <v>290</v>
      </c>
      <c r="G158" s="122"/>
      <c r="H158" s="118">
        <f>SUM(H160:H170)</f>
        <v>4507383</v>
      </c>
      <c r="I158" s="118">
        <f>SUM(I160:I170)</f>
        <v>4045637</v>
      </c>
      <c r="J158" s="125"/>
      <c r="K158" s="113"/>
      <c r="L158" s="113"/>
      <c r="M158" s="118">
        <f>SUM(M160:M170)</f>
        <v>461746</v>
      </c>
      <c r="N158" s="113"/>
    </row>
    <row r="159" spans="1:14" s="8" customFormat="1" ht="15.75" customHeight="1">
      <c r="A159" s="142" t="s">
        <v>4</v>
      </c>
      <c r="B159" s="115"/>
      <c r="C159" s="115"/>
      <c r="D159" s="115"/>
      <c r="E159" s="115"/>
      <c r="F159" s="115"/>
      <c r="G159" s="122"/>
      <c r="H159" s="118"/>
      <c r="I159" s="125"/>
      <c r="J159" s="125"/>
      <c r="K159" s="125">
        <f>K160+K164+K165+K166+K167+K168+K169+K170</f>
        <v>0</v>
      </c>
      <c r="L159" s="125">
        <f>L160+L164+L165+L166+L167+L168+L169+L170</f>
        <v>0</v>
      </c>
      <c r="M159" s="125"/>
      <c r="N159" s="125"/>
    </row>
    <row r="160" spans="1:14" s="8" customFormat="1" ht="26.25" customHeight="1">
      <c r="A160" s="142" t="s">
        <v>309</v>
      </c>
      <c r="B160" s="115"/>
      <c r="C160" s="115">
        <v>291</v>
      </c>
      <c r="D160" s="116" t="s">
        <v>522</v>
      </c>
      <c r="E160" s="115">
        <v>851</v>
      </c>
      <c r="F160" s="115">
        <v>291</v>
      </c>
      <c r="G160" s="117" t="s">
        <v>516</v>
      </c>
      <c r="H160" s="118">
        <f>I160+J160+K160+L160+M160+N160</f>
        <v>4041887</v>
      </c>
      <c r="I160" s="125">
        <f>'ФЭО МЗ'!H153+1082174</f>
        <v>4041887</v>
      </c>
      <c r="J160" s="125"/>
      <c r="K160" s="113"/>
      <c r="L160" s="113"/>
      <c r="M160" s="113">
        <v>0</v>
      </c>
      <c r="N160" s="113"/>
    </row>
    <row r="161" spans="1:14" s="8" customFormat="1" ht="26.25" customHeight="1" hidden="1">
      <c r="A161" s="142" t="s">
        <v>309</v>
      </c>
      <c r="B161" s="487"/>
      <c r="C161" s="489">
        <v>291</v>
      </c>
      <c r="D161" s="488" t="s">
        <v>522</v>
      </c>
      <c r="E161" s="489">
        <v>851</v>
      </c>
      <c r="F161" s="489">
        <v>291</v>
      </c>
      <c r="G161" s="492" t="s">
        <v>516</v>
      </c>
      <c r="H161" s="491">
        <f>SUM(I161:N161)</f>
        <v>0</v>
      </c>
      <c r="I161" s="486"/>
      <c r="J161" s="125"/>
      <c r="K161" s="113"/>
      <c r="L161" s="113"/>
      <c r="M161" s="113"/>
      <c r="N161" s="113"/>
    </row>
    <row r="162" spans="1:14" s="8" customFormat="1" ht="26.25" customHeight="1">
      <c r="A162" s="142" t="s">
        <v>309</v>
      </c>
      <c r="B162" s="115"/>
      <c r="C162" s="115">
        <v>291</v>
      </c>
      <c r="D162" s="116" t="s">
        <v>521</v>
      </c>
      <c r="E162" s="115">
        <v>851</v>
      </c>
      <c r="F162" s="115">
        <v>291</v>
      </c>
      <c r="G162" s="117" t="s">
        <v>530</v>
      </c>
      <c r="H162" s="118">
        <f>I162+J162+K162+L162+M162+N162</f>
        <v>354718</v>
      </c>
      <c r="I162" s="125">
        <v>0</v>
      </c>
      <c r="J162" s="125"/>
      <c r="K162" s="113"/>
      <c r="L162" s="113"/>
      <c r="M162" s="113">
        <v>354718</v>
      </c>
      <c r="N162" s="113"/>
    </row>
    <row r="163" spans="1:14" s="8" customFormat="1" ht="26.25" customHeight="1">
      <c r="A163" s="142" t="s">
        <v>309</v>
      </c>
      <c r="B163" s="487"/>
      <c r="C163" s="489">
        <v>291</v>
      </c>
      <c r="D163" s="488" t="s">
        <v>521</v>
      </c>
      <c r="E163" s="489">
        <v>851</v>
      </c>
      <c r="F163" s="489">
        <v>291</v>
      </c>
      <c r="G163" s="492" t="s">
        <v>530</v>
      </c>
      <c r="H163" s="491">
        <f>I163+J163+K163+L163+M163+N163</f>
        <v>45028</v>
      </c>
      <c r="I163" s="485">
        <v>0</v>
      </c>
      <c r="J163" s="485">
        <v>0</v>
      </c>
      <c r="K163" s="499">
        <v>0</v>
      </c>
      <c r="L163" s="499">
        <v>0</v>
      </c>
      <c r="M163" s="497">
        <v>45028</v>
      </c>
      <c r="N163" s="113"/>
    </row>
    <row r="164" spans="1:15" s="8" customFormat="1" ht="15" customHeight="1">
      <c r="A164" s="142" t="s">
        <v>357</v>
      </c>
      <c r="B164" s="115"/>
      <c r="C164" s="115">
        <v>291</v>
      </c>
      <c r="D164" s="116" t="s">
        <v>522</v>
      </c>
      <c r="E164" s="115">
        <v>852</v>
      </c>
      <c r="F164" s="115">
        <v>291</v>
      </c>
      <c r="G164" s="117" t="s">
        <v>516</v>
      </c>
      <c r="H164" s="118">
        <f aca="true" t="shared" si="7" ref="H164:H171">I164+J164+K164+L164+M164+N164</f>
        <v>3750</v>
      </c>
      <c r="I164" s="125">
        <v>3750</v>
      </c>
      <c r="J164" s="125"/>
      <c r="K164" s="113"/>
      <c r="L164" s="113"/>
      <c r="M164" s="113"/>
      <c r="N164" s="113"/>
      <c r="O164" s="8" t="s">
        <v>378</v>
      </c>
    </row>
    <row r="165" spans="1:15" s="8" customFormat="1" ht="15" customHeight="1">
      <c r="A165" s="142" t="s">
        <v>310</v>
      </c>
      <c r="B165" s="115"/>
      <c r="C165" s="115">
        <v>291</v>
      </c>
      <c r="D165" s="115"/>
      <c r="E165" s="115">
        <v>853</v>
      </c>
      <c r="F165" s="115">
        <v>291</v>
      </c>
      <c r="G165" s="122"/>
      <c r="H165" s="118">
        <f t="shared" si="7"/>
        <v>0</v>
      </c>
      <c r="I165" s="125"/>
      <c r="J165" s="125"/>
      <c r="K165" s="113"/>
      <c r="L165" s="113"/>
      <c r="M165" s="113"/>
      <c r="N165" s="113"/>
      <c r="O165" s="8" t="s">
        <v>379</v>
      </c>
    </row>
    <row r="166" spans="1:14" s="8" customFormat="1" ht="39.75" customHeight="1">
      <c r="A166" s="142" t="s">
        <v>358</v>
      </c>
      <c r="B166" s="392"/>
      <c r="C166" s="392">
        <v>292</v>
      </c>
      <c r="D166" s="393" t="s">
        <v>521</v>
      </c>
      <c r="E166" s="392">
        <v>853</v>
      </c>
      <c r="F166" s="392">
        <v>292</v>
      </c>
      <c r="G166" s="102" t="s">
        <v>530</v>
      </c>
      <c r="H166" s="118">
        <f t="shared" si="7"/>
        <v>3000</v>
      </c>
      <c r="I166" s="125"/>
      <c r="J166" s="125"/>
      <c r="K166" s="113"/>
      <c r="L166" s="113"/>
      <c r="M166" s="113">
        <v>3000</v>
      </c>
      <c r="N166" s="113"/>
    </row>
    <row r="167" spans="1:14" s="8" customFormat="1" ht="31.5" customHeight="1">
      <c r="A167" s="142" t="s">
        <v>359</v>
      </c>
      <c r="B167" s="115"/>
      <c r="C167" s="115">
        <v>293</v>
      </c>
      <c r="D167" s="115"/>
      <c r="E167" s="115">
        <v>853</v>
      </c>
      <c r="F167" s="115">
        <v>293</v>
      </c>
      <c r="G167" s="122"/>
      <c r="H167" s="118">
        <f t="shared" si="7"/>
        <v>0</v>
      </c>
      <c r="I167" s="125"/>
      <c r="J167" s="125"/>
      <c r="K167" s="113"/>
      <c r="L167" s="113"/>
      <c r="M167" s="113"/>
      <c r="N167" s="113"/>
    </row>
    <row r="168" spans="1:14" s="8" customFormat="1" ht="26.25" customHeight="1">
      <c r="A168" s="142" t="s">
        <v>360</v>
      </c>
      <c r="B168" s="115"/>
      <c r="C168" s="115">
        <v>294</v>
      </c>
      <c r="D168" s="115"/>
      <c r="E168" s="115">
        <v>853</v>
      </c>
      <c r="F168" s="115">
        <v>294</v>
      </c>
      <c r="G168" s="122"/>
      <c r="H168" s="118">
        <f t="shared" si="7"/>
        <v>0</v>
      </c>
      <c r="I168" s="125"/>
      <c r="J168" s="125"/>
      <c r="K168" s="113"/>
      <c r="L168" s="113"/>
      <c r="M168" s="113"/>
      <c r="N168" s="113"/>
    </row>
    <row r="169" spans="1:14" s="8" customFormat="1" ht="20.25" customHeight="1">
      <c r="A169" s="142" t="s">
        <v>361</v>
      </c>
      <c r="B169" s="487"/>
      <c r="C169" s="487">
        <v>295</v>
      </c>
      <c r="D169" s="488" t="s">
        <v>521</v>
      </c>
      <c r="E169" s="487">
        <v>853</v>
      </c>
      <c r="F169" s="487">
        <v>295</v>
      </c>
      <c r="G169" s="492" t="s">
        <v>530</v>
      </c>
      <c r="H169" s="491">
        <f t="shared" si="7"/>
        <v>30000</v>
      </c>
      <c r="I169" s="485">
        <v>0</v>
      </c>
      <c r="J169" s="485">
        <v>0</v>
      </c>
      <c r="K169" s="499">
        <v>0</v>
      </c>
      <c r="L169" s="499">
        <v>0</v>
      </c>
      <c r="M169" s="497">
        <v>30000</v>
      </c>
      <c r="N169" s="113"/>
    </row>
    <row r="170" spans="1:14" s="8" customFormat="1" ht="16.5" customHeight="1">
      <c r="A170" s="142" t="s">
        <v>362</v>
      </c>
      <c r="B170" s="115"/>
      <c r="C170" s="115">
        <v>297</v>
      </c>
      <c r="D170" s="393" t="s">
        <v>521</v>
      </c>
      <c r="E170" s="115">
        <v>853</v>
      </c>
      <c r="F170" s="115">
        <v>297</v>
      </c>
      <c r="G170" s="102" t="s">
        <v>530</v>
      </c>
      <c r="H170" s="118">
        <f t="shared" si="7"/>
        <v>29000</v>
      </c>
      <c r="I170" s="125"/>
      <c r="J170" s="125"/>
      <c r="K170" s="113"/>
      <c r="L170" s="113"/>
      <c r="M170" s="113">
        <f>28000+1000</f>
        <v>29000</v>
      </c>
      <c r="N170" s="113"/>
    </row>
    <row r="171" spans="1:14" s="8" customFormat="1" ht="15.75" customHeight="1">
      <c r="A171" s="142" t="s">
        <v>311</v>
      </c>
      <c r="B171" s="115">
        <v>240</v>
      </c>
      <c r="C171" s="115"/>
      <c r="D171" s="115"/>
      <c r="E171" s="115"/>
      <c r="F171" s="115"/>
      <c r="G171" s="122"/>
      <c r="H171" s="118">
        <f t="shared" si="7"/>
        <v>0</v>
      </c>
      <c r="I171" s="125"/>
      <c r="J171" s="125"/>
      <c r="K171" s="113"/>
      <c r="L171" s="113"/>
      <c r="M171" s="113"/>
      <c r="N171" s="113"/>
    </row>
    <row r="172" spans="1:14" s="8" customFormat="1" ht="28.5" customHeight="1">
      <c r="A172" s="136" t="s">
        <v>312</v>
      </c>
      <c r="B172" s="115">
        <v>250</v>
      </c>
      <c r="C172" s="115"/>
      <c r="D172" s="115"/>
      <c r="E172" s="115"/>
      <c r="F172" s="115"/>
      <c r="G172" s="122"/>
      <c r="H172" s="118">
        <f>H174+H175</f>
        <v>0</v>
      </c>
      <c r="I172" s="125">
        <f aca="true" t="shared" si="8" ref="I172:N172">I174+I175</f>
        <v>0</v>
      </c>
      <c r="J172" s="125">
        <f t="shared" si="8"/>
        <v>0</v>
      </c>
      <c r="K172" s="125">
        <f t="shared" si="8"/>
        <v>0</v>
      </c>
      <c r="L172" s="125">
        <f t="shared" si="8"/>
        <v>0</v>
      </c>
      <c r="M172" s="125">
        <f t="shared" si="8"/>
        <v>0</v>
      </c>
      <c r="N172" s="125">
        <f t="shared" si="8"/>
        <v>0</v>
      </c>
    </row>
    <row r="173" spans="1:14" s="8" customFormat="1" ht="11.25" customHeight="1">
      <c r="A173" s="142" t="s">
        <v>4</v>
      </c>
      <c r="B173" s="115"/>
      <c r="C173" s="115"/>
      <c r="D173" s="115"/>
      <c r="E173" s="115"/>
      <c r="F173" s="115"/>
      <c r="G173" s="122"/>
      <c r="H173" s="118"/>
      <c r="I173" s="125"/>
      <c r="J173" s="125"/>
      <c r="K173" s="113"/>
      <c r="L173" s="113"/>
      <c r="M173" s="113"/>
      <c r="N173" s="113"/>
    </row>
    <row r="174" spans="1:14" s="8" customFormat="1" ht="23.25" customHeight="1">
      <c r="A174" s="136" t="s">
        <v>313</v>
      </c>
      <c r="B174" s="115"/>
      <c r="C174" s="115"/>
      <c r="D174" s="115"/>
      <c r="E174" s="115"/>
      <c r="F174" s="115"/>
      <c r="G174" s="122"/>
      <c r="H174" s="118">
        <f>I174+J174+K174+L174+M174+N174</f>
        <v>0</v>
      </c>
      <c r="I174" s="125"/>
      <c r="J174" s="125"/>
      <c r="K174" s="113"/>
      <c r="L174" s="113"/>
      <c r="M174" s="113"/>
      <c r="N174" s="113"/>
    </row>
    <row r="175" spans="1:14" s="8" customFormat="1" ht="34.5" customHeight="1">
      <c r="A175" s="142" t="s">
        <v>314</v>
      </c>
      <c r="B175" s="115"/>
      <c r="C175" s="115"/>
      <c r="D175" s="115"/>
      <c r="E175" s="115"/>
      <c r="F175" s="115"/>
      <c r="G175" s="122"/>
      <c r="H175" s="118">
        <f>I175+J175+K175+L175+M175+N175</f>
        <v>0</v>
      </c>
      <c r="I175" s="125"/>
      <c r="J175" s="125"/>
      <c r="K175" s="125"/>
      <c r="L175" s="125"/>
      <c r="M175" s="125"/>
      <c r="N175" s="113"/>
    </row>
    <row r="176" spans="1:14" s="161" customFormat="1" ht="21" customHeight="1">
      <c r="A176" s="156" t="s">
        <v>315</v>
      </c>
      <c r="B176" s="157">
        <v>260</v>
      </c>
      <c r="C176" s="157"/>
      <c r="D176" s="157"/>
      <c r="E176" s="157"/>
      <c r="F176" s="157"/>
      <c r="G176" s="158"/>
      <c r="H176" s="159">
        <f>I176+J176+M176</f>
        <v>20994703.159999996</v>
      </c>
      <c r="I176" s="160">
        <f>SUM(I178:I185)+SUM(I203:I219)+I220+I240</f>
        <v>9877211.44</v>
      </c>
      <c r="J176" s="160">
        <f>J178+J184+J185+J203+J204+J213+J219+J220+J239+J240+J258</f>
        <v>330974.77999999997</v>
      </c>
      <c r="K176" s="160">
        <f>K178+K184+K185+K203+K204+K213+K219+K220+K239+K240+K258</f>
        <v>0</v>
      </c>
      <c r="L176" s="160">
        <f>L178+L184+L185+L203+L204+L213+L219+L220+L239+L240+L258</f>
        <v>0</v>
      </c>
      <c r="M176" s="160">
        <f>SUM(M178:M185)+SUM(M203:M219)+M220+M240</f>
        <v>10786516.94</v>
      </c>
      <c r="N176" s="160">
        <f>N178+N184+N185+N203+N204+N213+N219+N220+N239+N240+N258</f>
        <v>0</v>
      </c>
    </row>
    <row r="177" spans="1:14" s="41" customFormat="1" ht="15.75" customHeight="1">
      <c r="A177" s="142" t="s">
        <v>4</v>
      </c>
      <c r="B177" s="148"/>
      <c r="C177" s="115"/>
      <c r="D177" s="148"/>
      <c r="E177" s="148"/>
      <c r="F177" s="115"/>
      <c r="G177" s="122"/>
      <c r="H177" s="118"/>
      <c r="I177" s="118"/>
      <c r="J177" s="118"/>
      <c r="K177" s="118"/>
      <c r="L177" s="118"/>
      <c r="M177" s="118"/>
      <c r="N177" s="118"/>
    </row>
    <row r="178" spans="1:14" s="8" customFormat="1" ht="16.5" customHeight="1">
      <c r="A178" s="142" t="s">
        <v>316</v>
      </c>
      <c r="B178" s="115"/>
      <c r="C178" s="115">
        <v>221</v>
      </c>
      <c r="D178" s="116" t="s">
        <v>522</v>
      </c>
      <c r="E178" s="115">
        <v>244</v>
      </c>
      <c r="F178" s="115">
        <v>221</v>
      </c>
      <c r="G178" s="102" t="s">
        <v>531</v>
      </c>
      <c r="H178" s="118">
        <f>I178+J178+M178</f>
        <v>74644.09</v>
      </c>
      <c r="I178" s="125">
        <f>72000+2644.09</f>
        <v>74644.09</v>
      </c>
      <c r="J178" s="125"/>
      <c r="K178" s="113"/>
      <c r="L178" s="113"/>
      <c r="M178" s="113"/>
      <c r="N178" s="113"/>
    </row>
    <row r="179" spans="1:14" s="8" customFormat="1" ht="16.5" customHeight="1">
      <c r="A179" s="142" t="s">
        <v>316</v>
      </c>
      <c r="B179" s="115"/>
      <c r="C179" s="115">
        <v>221</v>
      </c>
      <c r="D179" s="116" t="s">
        <v>522</v>
      </c>
      <c r="E179" s="115">
        <v>244</v>
      </c>
      <c r="F179" s="115">
        <v>221</v>
      </c>
      <c r="G179" s="102" t="s">
        <v>532</v>
      </c>
      <c r="H179" s="118">
        <f>I179+J179+M179</f>
        <v>87800.1</v>
      </c>
      <c r="I179" s="125">
        <f>32000.1+55800</f>
        <v>87800.1</v>
      </c>
      <c r="J179" s="125"/>
      <c r="K179" s="113"/>
      <c r="L179" s="113"/>
      <c r="M179" s="113"/>
      <c r="N179" s="113"/>
    </row>
    <row r="180" spans="1:14" s="8" customFormat="1" ht="16.5" customHeight="1" hidden="1">
      <c r="A180" s="142" t="s">
        <v>316</v>
      </c>
      <c r="B180" s="487"/>
      <c r="C180" s="489">
        <v>221</v>
      </c>
      <c r="D180" s="488" t="s">
        <v>522</v>
      </c>
      <c r="E180" s="489">
        <v>244</v>
      </c>
      <c r="F180" s="489">
        <v>221</v>
      </c>
      <c r="G180" s="180" t="s">
        <v>531</v>
      </c>
      <c r="H180" s="491">
        <f>I180+J180+K180+L180+M180+N180</f>
        <v>0</v>
      </c>
      <c r="I180" s="486"/>
      <c r="J180" s="125"/>
      <c r="K180" s="113"/>
      <c r="L180" s="113"/>
      <c r="M180" s="113"/>
      <c r="N180" s="113"/>
    </row>
    <row r="181" spans="1:14" s="8" customFormat="1" ht="16.5" customHeight="1">
      <c r="A181" s="142" t="s">
        <v>826</v>
      </c>
      <c r="B181" s="487"/>
      <c r="C181" s="489">
        <v>221</v>
      </c>
      <c r="D181" s="488" t="s">
        <v>522</v>
      </c>
      <c r="E181" s="489">
        <v>244</v>
      </c>
      <c r="F181" s="489">
        <v>221</v>
      </c>
      <c r="G181" s="562" t="s">
        <v>827</v>
      </c>
      <c r="H181" s="491">
        <f>I181+J181+K181+L181+M181+N181</f>
        <v>45806.4</v>
      </c>
      <c r="I181" s="486">
        <v>45806.4</v>
      </c>
      <c r="J181" s="125"/>
      <c r="K181" s="113"/>
      <c r="L181" s="113"/>
      <c r="M181" s="113"/>
      <c r="N181" s="113"/>
    </row>
    <row r="182" spans="1:14" s="8" customFormat="1" ht="16.5" customHeight="1" hidden="1">
      <c r="A182" s="142" t="s">
        <v>316</v>
      </c>
      <c r="B182" s="487"/>
      <c r="C182" s="489">
        <v>221</v>
      </c>
      <c r="D182" s="489">
        <v>800000000</v>
      </c>
      <c r="E182" s="489">
        <v>244</v>
      </c>
      <c r="F182" s="489">
        <v>221</v>
      </c>
      <c r="G182" s="562" t="s">
        <v>532</v>
      </c>
      <c r="H182" s="491">
        <f>I182+J182+K182+L182+M182+N182</f>
        <v>0</v>
      </c>
      <c r="I182" s="486"/>
      <c r="J182" s="125"/>
      <c r="K182" s="113"/>
      <c r="L182" s="113"/>
      <c r="M182" s="113"/>
      <c r="N182" s="113"/>
    </row>
    <row r="183" spans="1:14" s="8" customFormat="1" ht="16.5" customHeight="1">
      <c r="A183" s="142" t="s">
        <v>316</v>
      </c>
      <c r="B183" s="115"/>
      <c r="C183" s="115">
        <v>221</v>
      </c>
      <c r="D183" s="116" t="s">
        <v>521</v>
      </c>
      <c r="E183" s="115">
        <v>244</v>
      </c>
      <c r="F183" s="115">
        <v>221</v>
      </c>
      <c r="G183" s="102" t="s">
        <v>533</v>
      </c>
      <c r="H183" s="118">
        <f>I183+J183+M183</f>
        <v>3500</v>
      </c>
      <c r="I183" s="125">
        <v>0</v>
      </c>
      <c r="J183" s="125"/>
      <c r="K183" s="113"/>
      <c r="L183" s="113"/>
      <c r="M183" s="113">
        <v>3500</v>
      </c>
      <c r="N183" s="113"/>
    </row>
    <row r="184" spans="1:14" s="8" customFormat="1" ht="15.75" customHeight="1">
      <c r="A184" s="142" t="s">
        <v>317</v>
      </c>
      <c r="B184" s="115"/>
      <c r="C184" s="115">
        <v>222</v>
      </c>
      <c r="D184" s="116" t="s">
        <v>521</v>
      </c>
      <c r="E184" s="115">
        <v>244</v>
      </c>
      <c r="F184" s="115">
        <v>222</v>
      </c>
      <c r="G184" s="102" t="s">
        <v>533</v>
      </c>
      <c r="H184" s="118">
        <f>I184+J184+K184+L184+M184+N184</f>
        <v>11000</v>
      </c>
      <c r="I184" s="125"/>
      <c r="J184" s="125"/>
      <c r="K184" s="113"/>
      <c r="L184" s="113"/>
      <c r="M184" s="113">
        <v>11000</v>
      </c>
      <c r="N184" s="113"/>
    </row>
    <row r="185" spans="1:14" s="161" customFormat="1" ht="14.25" customHeight="1">
      <c r="A185" s="156" t="s">
        <v>318</v>
      </c>
      <c r="B185" s="157"/>
      <c r="C185" s="157">
        <v>223</v>
      </c>
      <c r="D185" s="157"/>
      <c r="E185" s="157">
        <v>244</v>
      </c>
      <c r="F185" s="157">
        <v>223</v>
      </c>
      <c r="G185" s="158"/>
      <c r="H185" s="159">
        <f>I185+J185+M185</f>
        <v>3498434.15</v>
      </c>
      <c r="I185" s="160">
        <f>I187+I188+I189+I190+I191+I192+I193+I194+I195+I196</f>
        <v>3093486.76</v>
      </c>
      <c r="J185" s="160">
        <f>J187+J188+J189+J190</f>
        <v>0</v>
      </c>
      <c r="K185" s="160">
        <f>K187+K188+K189+K190</f>
        <v>0</v>
      </c>
      <c r="L185" s="160">
        <f>L187+L188+L189+L190</f>
        <v>0</v>
      </c>
      <c r="M185" s="160">
        <f>SUM(M187:M202)</f>
        <v>404947.39</v>
      </c>
      <c r="N185" s="160">
        <f>N187+N188+N189+N190</f>
        <v>0</v>
      </c>
    </row>
    <row r="186" spans="1:14" s="8" customFormat="1" ht="12.75">
      <c r="A186" s="142" t="s">
        <v>4</v>
      </c>
      <c r="B186" s="115"/>
      <c r="C186" s="115"/>
      <c r="D186" s="115"/>
      <c r="E186" s="115"/>
      <c r="F186" s="115"/>
      <c r="G186" s="122"/>
      <c r="H186" s="118"/>
      <c r="I186" s="125"/>
      <c r="J186" s="125"/>
      <c r="K186" s="113"/>
      <c r="L186" s="113"/>
      <c r="M186" s="113"/>
      <c r="N186" s="113"/>
    </row>
    <row r="187" spans="1:14" s="8" customFormat="1" ht="15" customHeight="1">
      <c r="A187" s="142" t="s">
        <v>319</v>
      </c>
      <c r="B187" s="115"/>
      <c r="C187" s="115">
        <v>223</v>
      </c>
      <c r="D187" s="116" t="s">
        <v>522</v>
      </c>
      <c r="E187" s="115">
        <v>244</v>
      </c>
      <c r="F187" s="115">
        <v>223</v>
      </c>
      <c r="G187" s="102" t="s">
        <v>532</v>
      </c>
      <c r="H187" s="118">
        <f aca="true" t="shared" si="9" ref="H187:H204">I187+J187+K187+L187+M187+N187</f>
        <v>1555866.16</v>
      </c>
      <c r="I187" s="125">
        <f>1231409.94+324456.22</f>
        <v>1555866.16</v>
      </c>
      <c r="J187" s="125"/>
      <c r="K187" s="113"/>
      <c r="L187" s="113"/>
      <c r="M187" s="113">
        <v>0</v>
      </c>
      <c r="N187" s="113"/>
    </row>
    <row r="188" spans="1:14" s="8" customFormat="1" ht="15" customHeight="1">
      <c r="A188" s="142" t="s">
        <v>320</v>
      </c>
      <c r="B188" s="115"/>
      <c r="C188" s="115">
        <v>223</v>
      </c>
      <c r="D188" s="116" t="s">
        <v>522</v>
      </c>
      <c r="E188" s="115">
        <v>244</v>
      </c>
      <c r="F188" s="115">
        <v>223</v>
      </c>
      <c r="G188" s="102" t="s">
        <v>532</v>
      </c>
      <c r="H188" s="118">
        <f t="shared" si="9"/>
        <v>0</v>
      </c>
      <c r="I188" s="125">
        <v>0</v>
      </c>
      <c r="J188" s="125"/>
      <c r="K188" s="113"/>
      <c r="L188" s="113"/>
      <c r="M188" s="113"/>
      <c r="N188" s="113"/>
    </row>
    <row r="189" spans="1:14" s="8" customFormat="1" ht="15" customHeight="1">
      <c r="A189" s="142" t="s">
        <v>321</v>
      </c>
      <c r="B189" s="115"/>
      <c r="C189" s="115">
        <v>223</v>
      </c>
      <c r="D189" s="116" t="s">
        <v>522</v>
      </c>
      <c r="E189" s="115">
        <v>244</v>
      </c>
      <c r="F189" s="115">
        <v>223</v>
      </c>
      <c r="G189" s="102" t="s">
        <v>532</v>
      </c>
      <c r="H189" s="118">
        <f t="shared" si="9"/>
        <v>568356.6799999999</v>
      </c>
      <c r="I189" s="125">
        <f>470359.68+97997</f>
        <v>568356.6799999999</v>
      </c>
      <c r="J189" s="125"/>
      <c r="K189" s="113"/>
      <c r="L189" s="113"/>
      <c r="M189" s="113"/>
      <c r="N189" s="113"/>
    </row>
    <row r="190" spans="1:14" s="8" customFormat="1" ht="15" customHeight="1">
      <c r="A190" s="142" t="s">
        <v>322</v>
      </c>
      <c r="B190" s="115"/>
      <c r="C190" s="115">
        <v>223</v>
      </c>
      <c r="D190" s="116" t="s">
        <v>522</v>
      </c>
      <c r="E190" s="115">
        <v>244</v>
      </c>
      <c r="F190" s="115">
        <v>223</v>
      </c>
      <c r="G190" s="102" t="s">
        <v>532</v>
      </c>
      <c r="H190" s="118">
        <f t="shared" si="9"/>
        <v>148192.91999999998</v>
      </c>
      <c r="I190" s="125">
        <f>125152.92+23040</f>
        <v>148192.91999999998</v>
      </c>
      <c r="J190" s="125"/>
      <c r="K190" s="113"/>
      <c r="L190" s="113"/>
      <c r="M190" s="113"/>
      <c r="N190" s="113"/>
    </row>
    <row r="191" spans="1:14" s="8" customFormat="1" ht="15" customHeight="1">
      <c r="A191" s="142" t="s">
        <v>319</v>
      </c>
      <c r="B191" s="487"/>
      <c r="C191" s="487">
        <v>223</v>
      </c>
      <c r="D191" s="488" t="s">
        <v>522</v>
      </c>
      <c r="E191" s="487">
        <v>244</v>
      </c>
      <c r="F191" s="487">
        <v>223</v>
      </c>
      <c r="G191" s="562" t="s">
        <v>827</v>
      </c>
      <c r="H191" s="491">
        <f t="shared" si="9"/>
        <v>459884</v>
      </c>
      <c r="I191" s="486">
        <v>459884</v>
      </c>
      <c r="J191" s="125"/>
      <c r="K191" s="113"/>
      <c r="L191" s="113"/>
      <c r="M191" s="113"/>
      <c r="N191" s="113"/>
    </row>
    <row r="192" spans="1:14" s="8" customFormat="1" ht="15" customHeight="1" hidden="1">
      <c r="A192" s="142" t="s">
        <v>319</v>
      </c>
      <c r="B192" s="487"/>
      <c r="C192" s="487">
        <v>223</v>
      </c>
      <c r="D192" s="488" t="s">
        <v>522</v>
      </c>
      <c r="E192" s="487">
        <v>244</v>
      </c>
      <c r="F192" s="487">
        <v>223</v>
      </c>
      <c r="G192" s="117" t="s">
        <v>532</v>
      </c>
      <c r="H192" s="491">
        <f t="shared" si="9"/>
        <v>0</v>
      </c>
      <c r="I192" s="486"/>
      <c r="J192" s="125"/>
      <c r="K192" s="113"/>
      <c r="L192" s="113"/>
      <c r="M192" s="113"/>
      <c r="N192" s="113"/>
    </row>
    <row r="193" spans="1:14" s="8" customFormat="1" ht="15" customHeight="1">
      <c r="A193" s="142" t="s">
        <v>321</v>
      </c>
      <c r="B193" s="487"/>
      <c r="C193" s="487">
        <v>223</v>
      </c>
      <c r="D193" s="488" t="s">
        <v>522</v>
      </c>
      <c r="E193" s="487">
        <v>244</v>
      </c>
      <c r="F193" s="487">
        <v>223</v>
      </c>
      <c r="G193" s="562" t="s">
        <v>827</v>
      </c>
      <c r="H193" s="491">
        <f t="shared" si="9"/>
        <v>240227</v>
      </c>
      <c r="I193" s="486">
        <v>240227</v>
      </c>
      <c r="J193" s="125"/>
      <c r="K193" s="113"/>
      <c r="L193" s="113"/>
      <c r="M193" s="113"/>
      <c r="N193" s="113"/>
    </row>
    <row r="194" spans="1:14" s="8" customFormat="1" ht="15" customHeight="1" hidden="1">
      <c r="A194" s="142" t="s">
        <v>321</v>
      </c>
      <c r="B194" s="487"/>
      <c r="C194" s="487">
        <v>223</v>
      </c>
      <c r="D194" s="488" t="s">
        <v>522</v>
      </c>
      <c r="E194" s="487">
        <v>244</v>
      </c>
      <c r="F194" s="487">
        <v>223</v>
      </c>
      <c r="G194" s="117" t="s">
        <v>532</v>
      </c>
      <c r="H194" s="491">
        <f t="shared" si="9"/>
        <v>0</v>
      </c>
      <c r="I194" s="486"/>
      <c r="J194" s="125"/>
      <c r="K194" s="113"/>
      <c r="L194" s="113"/>
      <c r="M194" s="113"/>
      <c r="N194" s="113"/>
    </row>
    <row r="195" spans="1:14" s="8" customFormat="1" ht="15" customHeight="1">
      <c r="A195" s="142" t="s">
        <v>322</v>
      </c>
      <c r="B195" s="487"/>
      <c r="C195" s="115">
        <v>223</v>
      </c>
      <c r="D195" s="488" t="s">
        <v>522</v>
      </c>
      <c r="E195" s="487">
        <v>244</v>
      </c>
      <c r="F195" s="487">
        <v>223</v>
      </c>
      <c r="G195" s="562" t="s">
        <v>827</v>
      </c>
      <c r="H195" s="491">
        <f t="shared" si="9"/>
        <v>120960</v>
      </c>
      <c r="I195" s="486">
        <v>120960</v>
      </c>
      <c r="J195" s="125"/>
      <c r="K195" s="113"/>
      <c r="L195" s="113"/>
      <c r="M195" s="113"/>
      <c r="N195" s="113"/>
    </row>
    <row r="196" spans="1:14" s="8" customFormat="1" ht="15" customHeight="1" hidden="1">
      <c r="A196" s="142" t="s">
        <v>322</v>
      </c>
      <c r="B196" s="487"/>
      <c r="C196" s="115">
        <v>223</v>
      </c>
      <c r="D196" s="488" t="s">
        <v>522</v>
      </c>
      <c r="E196" s="487">
        <v>244</v>
      </c>
      <c r="F196" s="487">
        <v>223</v>
      </c>
      <c r="G196" s="117" t="s">
        <v>532</v>
      </c>
      <c r="H196" s="491">
        <f t="shared" si="9"/>
        <v>0</v>
      </c>
      <c r="I196" s="486"/>
      <c r="J196" s="125"/>
      <c r="K196" s="113"/>
      <c r="L196" s="113"/>
      <c r="M196" s="113"/>
      <c r="N196" s="113"/>
    </row>
    <row r="197" spans="1:14" s="8" customFormat="1" ht="15" customHeight="1">
      <c r="A197" s="142" t="s">
        <v>319</v>
      </c>
      <c r="B197" s="115"/>
      <c r="C197" s="115">
        <v>223</v>
      </c>
      <c r="D197" s="116" t="s">
        <v>521</v>
      </c>
      <c r="E197" s="115">
        <v>244</v>
      </c>
      <c r="F197" s="115">
        <v>223</v>
      </c>
      <c r="G197" s="102" t="s">
        <v>533</v>
      </c>
      <c r="H197" s="118">
        <f t="shared" si="9"/>
        <v>153047.27</v>
      </c>
      <c r="I197" s="125">
        <v>0</v>
      </c>
      <c r="J197" s="125"/>
      <c r="K197" s="113"/>
      <c r="L197" s="113"/>
      <c r="M197" s="113">
        <v>153047.27</v>
      </c>
      <c r="N197" s="113"/>
    </row>
    <row r="198" spans="1:14" s="8" customFormat="1" ht="15" customHeight="1">
      <c r="A198" s="142" t="s">
        <v>319</v>
      </c>
      <c r="B198" s="487"/>
      <c r="C198" s="115">
        <v>223</v>
      </c>
      <c r="D198" s="498" t="s">
        <v>521</v>
      </c>
      <c r="E198" s="115">
        <v>244</v>
      </c>
      <c r="F198" s="115">
        <v>223</v>
      </c>
      <c r="G198" s="102" t="s">
        <v>533</v>
      </c>
      <c r="H198" s="491">
        <f t="shared" si="9"/>
        <v>18224</v>
      </c>
      <c r="I198" s="485">
        <v>0</v>
      </c>
      <c r="J198" s="485">
        <v>0</v>
      </c>
      <c r="K198" s="499">
        <v>0</v>
      </c>
      <c r="L198" s="499">
        <v>0</v>
      </c>
      <c r="M198" s="497">
        <v>18224</v>
      </c>
      <c r="N198" s="113"/>
    </row>
    <row r="199" spans="1:14" s="8" customFormat="1" ht="15" customHeight="1">
      <c r="A199" s="142" t="s">
        <v>321</v>
      </c>
      <c r="B199" s="115"/>
      <c r="C199" s="115">
        <v>223</v>
      </c>
      <c r="D199" s="116" t="s">
        <v>521</v>
      </c>
      <c r="E199" s="115">
        <v>244</v>
      </c>
      <c r="F199" s="115">
        <v>223</v>
      </c>
      <c r="G199" s="102" t="s">
        <v>533</v>
      </c>
      <c r="H199" s="118">
        <f t="shared" si="9"/>
        <v>161362.88</v>
      </c>
      <c r="I199" s="125">
        <v>0</v>
      </c>
      <c r="J199" s="125"/>
      <c r="K199" s="113"/>
      <c r="L199" s="113"/>
      <c r="M199" s="113">
        <v>161362.88</v>
      </c>
      <c r="N199" s="113"/>
    </row>
    <row r="200" spans="1:14" s="8" customFormat="1" ht="15" customHeight="1">
      <c r="A200" s="142" t="s">
        <v>321</v>
      </c>
      <c r="B200" s="487"/>
      <c r="C200" s="115">
        <v>223</v>
      </c>
      <c r="D200" s="498" t="s">
        <v>521</v>
      </c>
      <c r="E200" s="487">
        <v>244</v>
      </c>
      <c r="F200" s="487">
        <v>223</v>
      </c>
      <c r="G200" s="117" t="s">
        <v>533</v>
      </c>
      <c r="H200" s="491">
        <f t="shared" si="9"/>
        <v>13776</v>
      </c>
      <c r="I200" s="485">
        <v>0</v>
      </c>
      <c r="J200" s="485">
        <v>0</v>
      </c>
      <c r="K200" s="499">
        <v>0</v>
      </c>
      <c r="L200" s="499">
        <v>0</v>
      </c>
      <c r="M200" s="497">
        <v>13776</v>
      </c>
      <c r="N200" s="113"/>
    </row>
    <row r="201" spans="1:14" s="8" customFormat="1" ht="15" customHeight="1">
      <c r="A201" s="142" t="s">
        <v>322</v>
      </c>
      <c r="B201" s="115"/>
      <c r="C201" s="115">
        <v>223</v>
      </c>
      <c r="D201" s="116" t="s">
        <v>521</v>
      </c>
      <c r="E201" s="115">
        <v>244</v>
      </c>
      <c r="F201" s="115">
        <v>223</v>
      </c>
      <c r="G201" s="102" t="s">
        <v>533</v>
      </c>
      <c r="H201" s="118">
        <f t="shared" si="9"/>
        <v>50537.24</v>
      </c>
      <c r="I201" s="125">
        <v>0</v>
      </c>
      <c r="J201" s="125"/>
      <c r="K201" s="113"/>
      <c r="L201" s="113"/>
      <c r="M201" s="113">
        <v>50537.24</v>
      </c>
      <c r="N201" s="113"/>
    </row>
    <row r="202" spans="1:14" s="8" customFormat="1" ht="15" customHeight="1">
      <c r="A202" s="142" t="s">
        <v>322</v>
      </c>
      <c r="B202" s="487"/>
      <c r="C202" s="115">
        <v>223</v>
      </c>
      <c r="D202" s="498" t="s">
        <v>521</v>
      </c>
      <c r="E202" s="487">
        <v>244</v>
      </c>
      <c r="F202" s="487">
        <v>223</v>
      </c>
      <c r="G202" s="117" t="s">
        <v>533</v>
      </c>
      <c r="H202" s="491">
        <f t="shared" si="9"/>
        <v>8000</v>
      </c>
      <c r="I202" s="485">
        <v>0</v>
      </c>
      <c r="J202" s="485">
        <v>0</v>
      </c>
      <c r="K202" s="499">
        <v>0</v>
      </c>
      <c r="L202" s="499">
        <v>0</v>
      </c>
      <c r="M202" s="497">
        <v>8000</v>
      </c>
      <c r="N202" s="113"/>
    </row>
    <row r="203" spans="1:14" s="8" customFormat="1" ht="15" customHeight="1">
      <c r="A203" s="142" t="s">
        <v>323</v>
      </c>
      <c r="B203" s="115"/>
      <c r="C203" s="115">
        <v>224</v>
      </c>
      <c r="D203" s="115"/>
      <c r="E203" s="115"/>
      <c r="F203" s="115">
        <v>224</v>
      </c>
      <c r="G203" s="122"/>
      <c r="H203" s="118">
        <f t="shared" si="9"/>
        <v>0</v>
      </c>
      <c r="I203" s="125">
        <v>0</v>
      </c>
      <c r="J203" s="125"/>
      <c r="K203" s="113"/>
      <c r="L203" s="113"/>
      <c r="M203" s="113"/>
      <c r="N203" s="113"/>
    </row>
    <row r="204" spans="1:14" s="8" customFormat="1" ht="15" customHeight="1">
      <c r="A204" s="142" t="s">
        <v>324</v>
      </c>
      <c r="B204" s="115"/>
      <c r="C204" s="115">
        <v>225</v>
      </c>
      <c r="D204" s="116" t="s">
        <v>522</v>
      </c>
      <c r="E204" s="115">
        <v>244</v>
      </c>
      <c r="F204" s="115">
        <v>225</v>
      </c>
      <c r="G204" s="102" t="s">
        <v>531</v>
      </c>
      <c r="H204" s="118">
        <f t="shared" si="9"/>
        <v>127769.85999999999</v>
      </c>
      <c r="I204" s="125">
        <f>132945.86-5176</f>
        <v>127769.85999999999</v>
      </c>
      <c r="J204" s="125"/>
      <c r="K204" s="113"/>
      <c r="L204" s="113"/>
      <c r="M204" s="113"/>
      <c r="N204" s="113"/>
    </row>
    <row r="205" spans="1:14" s="8" customFormat="1" ht="15" customHeight="1">
      <c r="A205" s="142" t="s">
        <v>324</v>
      </c>
      <c r="B205" s="115"/>
      <c r="C205" s="115">
        <v>225</v>
      </c>
      <c r="D205" s="116" t="s">
        <v>522</v>
      </c>
      <c r="E205" s="115">
        <v>244</v>
      </c>
      <c r="F205" s="115">
        <v>225</v>
      </c>
      <c r="G205" s="102" t="s">
        <v>532</v>
      </c>
      <c r="H205" s="118">
        <f aca="true" t="shared" si="10" ref="H205:H212">I205+J205+K205+L205+M205+N205</f>
        <v>1892991.91</v>
      </c>
      <c r="I205" s="125">
        <f>1837882.27-23614.26+82473.9-3750</f>
        <v>1892991.91</v>
      </c>
      <c r="J205" s="125"/>
      <c r="K205" s="113"/>
      <c r="L205" s="113"/>
      <c r="M205" s="113"/>
      <c r="N205" s="113"/>
    </row>
    <row r="206" spans="1:14" s="8" customFormat="1" ht="15" customHeight="1">
      <c r="A206" s="142" t="s">
        <v>324</v>
      </c>
      <c r="B206" s="487"/>
      <c r="C206" s="115">
        <v>225</v>
      </c>
      <c r="D206" s="488" t="s">
        <v>522</v>
      </c>
      <c r="E206" s="115">
        <v>244</v>
      </c>
      <c r="F206" s="115">
        <v>225</v>
      </c>
      <c r="G206" s="562" t="s">
        <v>827</v>
      </c>
      <c r="H206" s="491">
        <f t="shared" si="10"/>
        <v>431000.92</v>
      </c>
      <c r="I206" s="486">
        <f>432987.99-1987.07</f>
        <v>431000.92</v>
      </c>
      <c r="J206" s="125"/>
      <c r="K206" s="113"/>
      <c r="L206" s="113"/>
      <c r="M206" s="113"/>
      <c r="N206" s="113"/>
    </row>
    <row r="207" spans="1:14" s="8" customFormat="1" ht="15" customHeight="1" hidden="1">
      <c r="A207" s="142" t="s">
        <v>324</v>
      </c>
      <c r="B207" s="487"/>
      <c r="C207" s="115">
        <v>225</v>
      </c>
      <c r="D207" s="488" t="s">
        <v>522</v>
      </c>
      <c r="E207" s="115">
        <v>244</v>
      </c>
      <c r="F207" s="115">
        <v>225</v>
      </c>
      <c r="G207" s="117" t="s">
        <v>532</v>
      </c>
      <c r="H207" s="491">
        <f t="shared" si="10"/>
        <v>0</v>
      </c>
      <c r="I207" s="486"/>
      <c r="J207" s="125"/>
      <c r="K207" s="113"/>
      <c r="L207" s="113"/>
      <c r="M207" s="113"/>
      <c r="N207" s="113"/>
    </row>
    <row r="208" spans="1:14" s="8" customFormat="1" ht="15" customHeight="1">
      <c r="A208" s="142" t="s">
        <v>324</v>
      </c>
      <c r="B208" s="115"/>
      <c r="C208" s="115">
        <v>225</v>
      </c>
      <c r="D208" s="116" t="s">
        <v>521</v>
      </c>
      <c r="E208" s="115">
        <v>244</v>
      </c>
      <c r="F208" s="115">
        <v>225</v>
      </c>
      <c r="G208" s="102" t="s">
        <v>533</v>
      </c>
      <c r="H208" s="118">
        <f t="shared" si="10"/>
        <v>2467848.93</v>
      </c>
      <c r="I208" s="125">
        <v>0</v>
      </c>
      <c r="J208" s="125"/>
      <c r="K208" s="113"/>
      <c r="L208" s="113"/>
      <c r="M208" s="113">
        <v>2467848.93</v>
      </c>
      <c r="N208" s="113"/>
    </row>
    <row r="209" spans="1:14" s="8" customFormat="1" ht="15" customHeight="1">
      <c r="A209" s="142" t="s">
        <v>324</v>
      </c>
      <c r="B209" s="487"/>
      <c r="C209" s="115">
        <v>225</v>
      </c>
      <c r="D209" s="498" t="s">
        <v>521</v>
      </c>
      <c r="E209" s="115">
        <v>244</v>
      </c>
      <c r="F209" s="115">
        <v>225</v>
      </c>
      <c r="G209" s="117" t="s">
        <v>533</v>
      </c>
      <c r="H209" s="491">
        <f t="shared" si="10"/>
        <v>92630.63</v>
      </c>
      <c r="I209" s="485">
        <v>0</v>
      </c>
      <c r="J209" s="485">
        <v>0</v>
      </c>
      <c r="K209" s="499">
        <v>0</v>
      </c>
      <c r="L209" s="499">
        <v>0</v>
      </c>
      <c r="M209" s="497">
        <f>35232+57398.63</f>
        <v>92630.63</v>
      </c>
      <c r="N209" s="113"/>
    </row>
    <row r="210" spans="1:14" s="8" customFormat="1" ht="15" customHeight="1">
      <c r="A210" s="142" t="s">
        <v>828</v>
      </c>
      <c r="B210" s="487"/>
      <c r="C210" s="115">
        <v>227</v>
      </c>
      <c r="D210" s="488" t="s">
        <v>522</v>
      </c>
      <c r="E210" s="115">
        <v>244</v>
      </c>
      <c r="F210" s="115">
        <v>227</v>
      </c>
      <c r="G210" s="562" t="s">
        <v>827</v>
      </c>
      <c r="H210" s="491">
        <f t="shared" si="10"/>
        <v>8000</v>
      </c>
      <c r="I210" s="486">
        <v>8000</v>
      </c>
      <c r="J210" s="125"/>
      <c r="K210" s="113"/>
      <c r="L210" s="113"/>
      <c r="M210" s="113"/>
      <c r="N210" s="113"/>
    </row>
    <row r="211" spans="1:14" s="8" customFormat="1" ht="15" customHeight="1">
      <c r="A211" s="142" t="s">
        <v>751</v>
      </c>
      <c r="B211" s="115"/>
      <c r="C211" s="115">
        <v>228</v>
      </c>
      <c r="D211" s="116" t="s">
        <v>521</v>
      </c>
      <c r="E211" s="115">
        <v>244</v>
      </c>
      <c r="F211" s="115">
        <v>228</v>
      </c>
      <c r="G211" s="102" t="s">
        <v>533</v>
      </c>
      <c r="H211" s="118">
        <f t="shared" si="10"/>
        <v>500000</v>
      </c>
      <c r="I211" s="125">
        <v>0</v>
      </c>
      <c r="J211" s="125"/>
      <c r="K211" s="113"/>
      <c r="L211" s="113"/>
      <c r="M211" s="113">
        <v>500000</v>
      </c>
      <c r="N211" s="113"/>
    </row>
    <row r="212" spans="1:14" s="8" customFormat="1" ht="15" customHeight="1">
      <c r="A212" s="142" t="s">
        <v>751</v>
      </c>
      <c r="B212" s="115"/>
      <c r="C212" s="115">
        <v>228</v>
      </c>
      <c r="D212" s="116" t="s">
        <v>522</v>
      </c>
      <c r="E212" s="115">
        <v>244</v>
      </c>
      <c r="F212" s="115">
        <v>228</v>
      </c>
      <c r="G212" s="102" t="s">
        <v>532</v>
      </c>
      <c r="H212" s="118">
        <f t="shared" si="10"/>
        <v>962846.06</v>
      </c>
      <c r="I212" s="125">
        <f>'ФЭО МЗ'!G314</f>
        <v>962846.06</v>
      </c>
      <c r="J212" s="125"/>
      <c r="K212" s="113"/>
      <c r="L212" s="113"/>
      <c r="M212" s="113"/>
      <c r="N212" s="113"/>
    </row>
    <row r="213" spans="1:14" s="8" customFormat="1" ht="15" customHeight="1">
      <c r="A213" s="142" t="s">
        <v>325</v>
      </c>
      <c r="B213" s="115"/>
      <c r="C213" s="115">
        <v>310</v>
      </c>
      <c r="D213" s="116" t="s">
        <v>522</v>
      </c>
      <c r="E213" s="115">
        <v>244</v>
      </c>
      <c r="F213" s="115">
        <v>310</v>
      </c>
      <c r="G213" s="102" t="s">
        <v>531</v>
      </c>
      <c r="H213" s="118">
        <f aca="true" t="shared" si="11" ref="H213:H220">I213+J213+K213+L213+M213+N213</f>
        <v>474097.52</v>
      </c>
      <c r="I213" s="125">
        <f>399789.61+74307.91</f>
        <v>474097.52</v>
      </c>
      <c r="J213" s="125"/>
      <c r="K213" s="113"/>
      <c r="L213" s="113"/>
      <c r="M213" s="113"/>
      <c r="N213" s="113"/>
    </row>
    <row r="214" spans="1:14" s="8" customFormat="1" ht="15" customHeight="1">
      <c r="A214" s="142" t="s">
        <v>325</v>
      </c>
      <c r="B214" s="115"/>
      <c r="C214" s="115">
        <v>310</v>
      </c>
      <c r="D214" s="116" t="s">
        <v>522</v>
      </c>
      <c r="E214" s="115">
        <v>244</v>
      </c>
      <c r="F214" s="115">
        <v>310</v>
      </c>
      <c r="G214" s="102" t="s">
        <v>532</v>
      </c>
      <c r="H214" s="118">
        <f t="shared" si="11"/>
        <v>313210.29000000004</v>
      </c>
      <c r="I214" s="125">
        <f>'ФЭО МЗ'!H413</f>
        <v>313210.29000000004</v>
      </c>
      <c r="J214" s="125"/>
      <c r="K214" s="113"/>
      <c r="L214" s="113"/>
      <c r="M214" s="113"/>
      <c r="N214" s="113"/>
    </row>
    <row r="215" spans="1:14" s="8" customFormat="1" ht="15" customHeight="1">
      <c r="A215" s="142" t="s">
        <v>325</v>
      </c>
      <c r="B215" s="487"/>
      <c r="C215" s="115">
        <v>310</v>
      </c>
      <c r="D215" s="488" t="s">
        <v>522</v>
      </c>
      <c r="E215" s="115">
        <v>244</v>
      </c>
      <c r="F215" s="115">
        <v>310</v>
      </c>
      <c r="G215" s="180" t="s">
        <v>535</v>
      </c>
      <c r="H215" s="491">
        <f t="shared" si="11"/>
        <v>194337.7</v>
      </c>
      <c r="I215" s="495">
        <v>194337.7</v>
      </c>
      <c r="J215" s="125"/>
      <c r="K215" s="113"/>
      <c r="L215" s="113"/>
      <c r="M215" s="113"/>
      <c r="N215" s="113"/>
    </row>
    <row r="216" spans="1:14" s="8" customFormat="1" ht="15" customHeight="1">
      <c r="A216" s="142" t="s">
        <v>325</v>
      </c>
      <c r="B216" s="487"/>
      <c r="C216" s="115">
        <v>310</v>
      </c>
      <c r="D216" s="488" t="s">
        <v>522</v>
      </c>
      <c r="E216" s="115">
        <v>244</v>
      </c>
      <c r="F216" s="115">
        <v>310</v>
      </c>
      <c r="G216" s="180" t="s">
        <v>531</v>
      </c>
      <c r="H216" s="491">
        <f t="shared" si="11"/>
        <v>0</v>
      </c>
      <c r="I216" s="486"/>
      <c r="J216" s="125"/>
      <c r="K216" s="113"/>
      <c r="L216" s="113"/>
      <c r="M216" s="113"/>
      <c r="N216" s="113"/>
    </row>
    <row r="217" spans="1:14" s="8" customFormat="1" ht="15" customHeight="1">
      <c r="A217" s="142" t="s">
        <v>325</v>
      </c>
      <c r="B217" s="115"/>
      <c r="C217" s="115">
        <v>310</v>
      </c>
      <c r="D217" s="116" t="s">
        <v>521</v>
      </c>
      <c r="E217" s="115">
        <v>244</v>
      </c>
      <c r="F217" s="115">
        <v>310</v>
      </c>
      <c r="G217" s="102" t="s">
        <v>533</v>
      </c>
      <c r="H217" s="118">
        <f t="shared" si="11"/>
        <v>464248</v>
      </c>
      <c r="I217" s="125">
        <v>0</v>
      </c>
      <c r="J217" s="125"/>
      <c r="K217" s="113"/>
      <c r="L217" s="113"/>
      <c r="M217" s="113">
        <v>464248</v>
      </c>
      <c r="N217" s="113"/>
    </row>
    <row r="218" spans="1:14" s="8" customFormat="1" ht="15" customHeight="1">
      <c r="A218" s="142" t="s">
        <v>325</v>
      </c>
      <c r="B218" s="487"/>
      <c r="C218" s="115">
        <v>310</v>
      </c>
      <c r="D218" s="498" t="s">
        <v>521</v>
      </c>
      <c r="E218" s="115">
        <v>244</v>
      </c>
      <c r="F218" s="115">
        <v>310</v>
      </c>
      <c r="G218" s="117" t="s">
        <v>533</v>
      </c>
      <c r="H218" s="491">
        <f t="shared" si="11"/>
        <v>110000</v>
      </c>
      <c r="I218" s="485">
        <v>0</v>
      </c>
      <c r="J218" s="485">
        <v>0</v>
      </c>
      <c r="K218" s="499">
        <v>0</v>
      </c>
      <c r="L218" s="499">
        <v>0</v>
      </c>
      <c r="M218" s="160">
        <v>110000</v>
      </c>
      <c r="N218" s="113"/>
    </row>
    <row r="219" spans="1:14" s="8" customFormat="1" ht="15" customHeight="1">
      <c r="A219" s="142" t="s">
        <v>326</v>
      </c>
      <c r="B219" s="115"/>
      <c r="C219" s="115">
        <v>320</v>
      </c>
      <c r="D219" s="115"/>
      <c r="E219" s="115"/>
      <c r="F219" s="115">
        <v>320</v>
      </c>
      <c r="G219" s="122"/>
      <c r="H219" s="118">
        <f t="shared" si="11"/>
        <v>0</v>
      </c>
      <c r="I219" s="125">
        <v>0</v>
      </c>
      <c r="J219" s="125"/>
      <c r="K219" s="113"/>
      <c r="L219" s="113"/>
      <c r="M219" s="113"/>
      <c r="N219" s="113"/>
    </row>
    <row r="220" spans="1:14" s="161" customFormat="1" ht="23.25" customHeight="1">
      <c r="A220" s="156" t="s">
        <v>327</v>
      </c>
      <c r="B220" s="157"/>
      <c r="C220" s="157">
        <v>340</v>
      </c>
      <c r="D220" s="157"/>
      <c r="E220" s="157">
        <v>244</v>
      </c>
      <c r="F220" s="157">
        <v>340</v>
      </c>
      <c r="G220" s="158"/>
      <c r="H220" s="159">
        <f t="shared" si="11"/>
        <v>5850548.71</v>
      </c>
      <c r="I220" s="160">
        <f>I221+I222+I228+I231+I238+I223+I224+I232+I233</f>
        <v>631723.93</v>
      </c>
      <c r="J220" s="160">
        <f>J221+J222+J228+J231+J238+J236+J237+J234+J225</f>
        <v>197759.47999999998</v>
      </c>
      <c r="K220" s="160">
        <f>K221+K222+K228+K231+K238</f>
        <v>0</v>
      </c>
      <c r="L220" s="160">
        <f>L221+L222+L228+L231+L238</f>
        <v>0</v>
      </c>
      <c r="M220" s="160">
        <f>SUM(M222:M238)</f>
        <v>5021065.3</v>
      </c>
      <c r="N220" s="160">
        <f>N221+N222+N228+N231+N238</f>
        <v>0</v>
      </c>
    </row>
    <row r="221" spans="1:14" s="8" customFormat="1" ht="15" customHeight="1">
      <c r="A221" s="142" t="s">
        <v>4</v>
      </c>
      <c r="B221" s="115"/>
      <c r="C221" s="115"/>
      <c r="D221" s="115"/>
      <c r="E221" s="115"/>
      <c r="F221" s="115"/>
      <c r="G221" s="122"/>
      <c r="H221" s="118"/>
      <c r="I221" s="125"/>
      <c r="J221" s="125"/>
      <c r="K221" s="113"/>
      <c r="L221" s="113"/>
      <c r="M221" s="113"/>
      <c r="N221" s="113"/>
    </row>
    <row r="222" spans="1:14" s="8" customFormat="1" ht="15" customHeight="1">
      <c r="A222" s="142" t="s">
        <v>328</v>
      </c>
      <c r="B222" s="115"/>
      <c r="C222" s="115">
        <v>341</v>
      </c>
      <c r="D222" s="116" t="s">
        <v>521</v>
      </c>
      <c r="E222" s="115">
        <v>244</v>
      </c>
      <c r="F222" s="115">
        <v>341</v>
      </c>
      <c r="G222" s="102" t="s">
        <v>533</v>
      </c>
      <c r="H222" s="118">
        <f aca="true" t="shared" si="12" ref="H222:H238">I222+J222+K222+L222+M222+N222</f>
        <v>50000</v>
      </c>
      <c r="I222" s="125">
        <v>0</v>
      </c>
      <c r="J222" s="497"/>
      <c r="K222" s="113"/>
      <c r="L222" s="113"/>
      <c r="M222" s="113">
        <v>50000</v>
      </c>
      <c r="N222" s="113"/>
    </row>
    <row r="223" spans="1:14" s="8" customFormat="1" ht="15" customHeight="1">
      <c r="A223" s="142" t="s">
        <v>328</v>
      </c>
      <c r="B223" s="487"/>
      <c r="C223" s="115">
        <v>341</v>
      </c>
      <c r="D223" s="488" t="s">
        <v>522</v>
      </c>
      <c r="E223" s="115">
        <v>244</v>
      </c>
      <c r="F223" s="115">
        <v>341</v>
      </c>
      <c r="G223" s="102" t="s">
        <v>827</v>
      </c>
      <c r="H223" s="491">
        <f t="shared" si="12"/>
        <v>7000</v>
      </c>
      <c r="I223" s="486">
        <v>7000</v>
      </c>
      <c r="J223" s="125"/>
      <c r="K223" s="113"/>
      <c r="L223" s="113"/>
      <c r="M223" s="113"/>
      <c r="N223" s="113"/>
    </row>
    <row r="224" spans="1:14" s="8" customFormat="1" ht="15" customHeight="1">
      <c r="A224" s="142" t="s">
        <v>329</v>
      </c>
      <c r="B224" s="487"/>
      <c r="C224" s="115">
        <v>342</v>
      </c>
      <c r="D224" s="488" t="s">
        <v>522</v>
      </c>
      <c r="E224" s="115">
        <v>244</v>
      </c>
      <c r="F224" s="115">
        <v>342</v>
      </c>
      <c r="G224" s="102" t="s">
        <v>827</v>
      </c>
      <c r="H224" s="491">
        <f t="shared" si="12"/>
        <v>437421.05</v>
      </c>
      <c r="I224" s="160">
        <v>437421.05</v>
      </c>
      <c r="J224" s="125"/>
      <c r="K224" s="113"/>
      <c r="L224" s="113"/>
      <c r="M224" s="113"/>
      <c r="N224" s="113"/>
    </row>
    <row r="225" spans="1:14" s="8" customFormat="1" ht="15" customHeight="1">
      <c r="A225" s="142" t="s">
        <v>329</v>
      </c>
      <c r="B225" s="487"/>
      <c r="C225" s="115">
        <v>340</v>
      </c>
      <c r="D225" s="498" t="s">
        <v>843</v>
      </c>
      <c r="E225" s="115">
        <v>244</v>
      </c>
      <c r="F225" s="115">
        <v>342</v>
      </c>
      <c r="G225" s="102" t="s">
        <v>535</v>
      </c>
      <c r="H225" s="491">
        <f t="shared" si="12"/>
        <v>176362.34</v>
      </c>
      <c r="I225" s="485">
        <v>0</v>
      </c>
      <c r="J225" s="160">
        <f>105204.41+39777.72+31380.21</f>
        <v>176362.34</v>
      </c>
      <c r="K225" s="113"/>
      <c r="L225" s="113"/>
      <c r="M225" s="113"/>
      <c r="N225" s="113"/>
    </row>
    <row r="226" spans="1:15" s="8" customFormat="1" ht="15" customHeight="1">
      <c r="A226" s="142" t="s">
        <v>329</v>
      </c>
      <c r="B226" s="487"/>
      <c r="C226" s="115">
        <v>340</v>
      </c>
      <c r="D226" s="498" t="s">
        <v>521</v>
      </c>
      <c r="E226" s="115">
        <v>244</v>
      </c>
      <c r="F226" s="115">
        <v>342</v>
      </c>
      <c r="G226" s="102" t="s">
        <v>533</v>
      </c>
      <c r="H226" s="491">
        <f t="shared" si="12"/>
        <v>2990594.12</v>
      </c>
      <c r="I226" s="485">
        <v>0</v>
      </c>
      <c r="J226" s="485">
        <v>0</v>
      </c>
      <c r="K226" s="499">
        <v>0</v>
      </c>
      <c r="L226" s="499">
        <v>0</v>
      </c>
      <c r="M226" s="160">
        <f>2800000+190594.12</f>
        <v>2990594.12</v>
      </c>
      <c r="N226" s="113"/>
      <c r="O226" s="8">
        <v>4546064.3</v>
      </c>
    </row>
    <row r="227" spans="1:14" s="8" customFormat="1" ht="15" customHeight="1">
      <c r="A227" s="142" t="s">
        <v>329</v>
      </c>
      <c r="B227" s="487"/>
      <c r="C227" s="115">
        <v>340</v>
      </c>
      <c r="D227" s="498" t="s">
        <v>521</v>
      </c>
      <c r="E227" s="115">
        <v>244</v>
      </c>
      <c r="F227" s="115">
        <v>342</v>
      </c>
      <c r="G227" s="102" t="s">
        <v>533</v>
      </c>
      <c r="H227" s="491">
        <f>I227+J227+K227+L227+M227+N227</f>
        <v>1555471.18</v>
      </c>
      <c r="I227" s="485"/>
      <c r="J227" s="485"/>
      <c r="K227" s="499"/>
      <c r="L227" s="499"/>
      <c r="M227" s="496">
        <f>1430044+125427.18</f>
        <v>1555471.18</v>
      </c>
      <c r="N227" s="113"/>
    </row>
    <row r="228" spans="1:14" s="8" customFormat="1" ht="15" customHeight="1">
      <c r="A228" s="142" t="s">
        <v>847</v>
      </c>
      <c r="B228" s="115"/>
      <c r="C228" s="115">
        <v>344</v>
      </c>
      <c r="D228" s="116" t="s">
        <v>521</v>
      </c>
      <c r="E228" s="115">
        <v>244</v>
      </c>
      <c r="F228" s="115">
        <v>344</v>
      </c>
      <c r="G228" s="102" t="s">
        <v>533</v>
      </c>
      <c r="H228" s="118">
        <f t="shared" si="12"/>
        <v>50000</v>
      </c>
      <c r="I228" s="125">
        <v>0</v>
      </c>
      <c r="J228" s="125"/>
      <c r="K228" s="113"/>
      <c r="L228" s="113"/>
      <c r="M228" s="113">
        <v>50000</v>
      </c>
      <c r="N228" s="113"/>
    </row>
    <row r="229" spans="1:14" s="8" customFormat="1" ht="15" customHeight="1">
      <c r="A229" s="142" t="s">
        <v>848</v>
      </c>
      <c r="B229" s="487"/>
      <c r="C229" s="115">
        <v>340</v>
      </c>
      <c r="D229" s="498" t="s">
        <v>521</v>
      </c>
      <c r="E229" s="115">
        <v>244</v>
      </c>
      <c r="F229" s="115">
        <v>345</v>
      </c>
      <c r="G229" s="102" t="s">
        <v>533</v>
      </c>
      <c r="H229" s="491">
        <f t="shared" si="12"/>
        <v>100000</v>
      </c>
      <c r="I229" s="485">
        <v>0</v>
      </c>
      <c r="J229" s="485">
        <v>0</v>
      </c>
      <c r="K229" s="499">
        <v>0</v>
      </c>
      <c r="L229" s="499">
        <v>0</v>
      </c>
      <c r="M229" s="497">
        <v>100000</v>
      </c>
      <c r="N229" s="113"/>
    </row>
    <row r="230" spans="1:14" s="8" customFormat="1" ht="15" customHeight="1">
      <c r="A230" s="142" t="s">
        <v>330</v>
      </c>
      <c r="B230" s="115"/>
      <c r="C230" s="115">
        <v>346</v>
      </c>
      <c r="D230" s="116" t="s">
        <v>521</v>
      </c>
      <c r="E230" s="115">
        <v>244</v>
      </c>
      <c r="F230" s="115">
        <v>346</v>
      </c>
      <c r="G230" s="102" t="s">
        <v>533</v>
      </c>
      <c r="H230" s="118">
        <f t="shared" si="12"/>
        <v>175000</v>
      </c>
      <c r="I230" s="125"/>
      <c r="J230" s="125"/>
      <c r="K230" s="113"/>
      <c r="L230" s="113"/>
      <c r="M230" s="113">
        <v>175000</v>
      </c>
      <c r="N230" s="113"/>
    </row>
    <row r="231" spans="1:14" s="8" customFormat="1" ht="15" customHeight="1">
      <c r="A231" s="142" t="s">
        <v>330</v>
      </c>
      <c r="B231" s="115"/>
      <c r="C231" s="115">
        <v>346</v>
      </c>
      <c r="D231" s="116" t="s">
        <v>522</v>
      </c>
      <c r="E231" s="115">
        <v>244</v>
      </c>
      <c r="F231" s="115">
        <v>346</v>
      </c>
      <c r="G231" s="102" t="s">
        <v>532</v>
      </c>
      <c r="H231" s="118">
        <f t="shared" si="12"/>
        <v>177956.82</v>
      </c>
      <c r="I231" s="125">
        <f>124943.1+53013.72</f>
        <v>177956.82</v>
      </c>
      <c r="J231" s="125"/>
      <c r="K231" s="113"/>
      <c r="L231" s="113"/>
      <c r="M231" s="113"/>
      <c r="N231" s="113"/>
    </row>
    <row r="232" spans="1:14" s="8" customFormat="1" ht="15" customHeight="1">
      <c r="A232" s="142" t="s">
        <v>330</v>
      </c>
      <c r="B232" s="487"/>
      <c r="C232" s="115">
        <v>340</v>
      </c>
      <c r="D232" s="488" t="s">
        <v>522</v>
      </c>
      <c r="E232" s="115">
        <v>244</v>
      </c>
      <c r="F232" s="115">
        <v>346</v>
      </c>
      <c r="G232" s="102" t="s">
        <v>827</v>
      </c>
      <c r="H232" s="491">
        <f t="shared" si="12"/>
        <v>9346.06</v>
      </c>
      <c r="I232" s="486">
        <v>9346.06</v>
      </c>
      <c r="J232" s="125"/>
      <c r="K232" s="113"/>
      <c r="L232" s="113"/>
      <c r="M232" s="113"/>
      <c r="N232" s="113"/>
    </row>
    <row r="233" spans="1:14" s="8" customFormat="1" ht="15" customHeight="1" hidden="1">
      <c r="A233" s="142" t="s">
        <v>330</v>
      </c>
      <c r="B233" s="487"/>
      <c r="C233" s="115">
        <v>340</v>
      </c>
      <c r="D233" s="488" t="s">
        <v>522</v>
      </c>
      <c r="E233" s="115">
        <v>244</v>
      </c>
      <c r="F233" s="115">
        <v>346</v>
      </c>
      <c r="G233" s="102" t="s">
        <v>532</v>
      </c>
      <c r="H233" s="491">
        <f t="shared" si="12"/>
        <v>0</v>
      </c>
      <c r="I233" s="486"/>
      <c r="J233" s="125"/>
      <c r="K233" s="113"/>
      <c r="L233" s="113"/>
      <c r="M233" s="113"/>
      <c r="N233" s="113"/>
    </row>
    <row r="234" spans="1:14" s="8" customFormat="1" ht="15" customHeight="1">
      <c r="A234" s="142" t="s">
        <v>330</v>
      </c>
      <c r="B234" s="115"/>
      <c r="C234" s="115">
        <v>346</v>
      </c>
      <c r="D234" s="116" t="s">
        <v>796</v>
      </c>
      <c r="E234" s="115">
        <v>244</v>
      </c>
      <c r="F234" s="115">
        <v>346</v>
      </c>
      <c r="G234" s="102" t="s">
        <v>801</v>
      </c>
      <c r="H234" s="118">
        <f t="shared" si="12"/>
        <v>7042.14</v>
      </c>
      <c r="I234" s="125"/>
      <c r="J234" s="467">
        <v>7042.14</v>
      </c>
      <c r="K234" s="113"/>
      <c r="L234" s="113"/>
      <c r="M234" s="113"/>
      <c r="N234" s="113"/>
    </row>
    <row r="235" spans="1:14" s="8" customFormat="1" ht="15" customHeight="1">
      <c r="A235" s="142" t="s">
        <v>330</v>
      </c>
      <c r="B235" s="115"/>
      <c r="C235" s="115">
        <v>349</v>
      </c>
      <c r="D235" s="116" t="s">
        <v>521</v>
      </c>
      <c r="E235" s="115">
        <v>244</v>
      </c>
      <c r="F235" s="115">
        <v>349</v>
      </c>
      <c r="G235" s="102" t="s">
        <v>533</v>
      </c>
      <c r="H235" s="118">
        <f t="shared" si="12"/>
        <v>100000</v>
      </c>
      <c r="I235" s="125"/>
      <c r="J235" s="467"/>
      <c r="K235" s="113"/>
      <c r="L235" s="113"/>
      <c r="M235" s="113">
        <v>100000</v>
      </c>
      <c r="N235" s="113"/>
    </row>
    <row r="236" spans="1:14" s="8" customFormat="1" ht="15" customHeight="1">
      <c r="A236" s="142" t="s">
        <v>330</v>
      </c>
      <c r="B236" s="115"/>
      <c r="C236" s="115">
        <v>349</v>
      </c>
      <c r="D236" s="116" t="s">
        <v>798</v>
      </c>
      <c r="E236" s="115">
        <v>244</v>
      </c>
      <c r="F236" s="115">
        <v>349</v>
      </c>
      <c r="G236" s="102" t="s">
        <v>799</v>
      </c>
      <c r="H236" s="118">
        <f t="shared" si="12"/>
        <v>12915</v>
      </c>
      <c r="I236" s="125"/>
      <c r="J236" s="467">
        <v>12915</v>
      </c>
      <c r="K236" s="113"/>
      <c r="L236" s="113"/>
      <c r="M236" s="113"/>
      <c r="N236" s="113"/>
    </row>
    <row r="237" spans="1:14" s="8" customFormat="1" ht="15" customHeight="1">
      <c r="A237" s="142" t="s">
        <v>330</v>
      </c>
      <c r="B237" s="115"/>
      <c r="C237" s="115">
        <v>349</v>
      </c>
      <c r="D237" s="116" t="s">
        <v>797</v>
      </c>
      <c r="E237" s="115">
        <v>244</v>
      </c>
      <c r="F237" s="115">
        <v>349</v>
      </c>
      <c r="G237" s="102" t="s">
        <v>799</v>
      </c>
      <c r="H237" s="118">
        <f t="shared" si="12"/>
        <v>1440</v>
      </c>
      <c r="I237" s="125"/>
      <c r="J237" s="467">
        <v>1440</v>
      </c>
      <c r="K237" s="113"/>
      <c r="L237" s="113"/>
      <c r="M237" s="113"/>
      <c r="N237" s="113"/>
    </row>
    <row r="238" spans="1:14" s="8" customFormat="1" ht="15" customHeight="1">
      <c r="A238" s="142" t="s">
        <v>331</v>
      </c>
      <c r="B238" s="115"/>
      <c r="C238" s="115"/>
      <c r="D238" s="115"/>
      <c r="E238" s="115"/>
      <c r="F238" s="115"/>
      <c r="G238" s="122"/>
      <c r="H238" s="118">
        <f t="shared" si="12"/>
        <v>0</v>
      </c>
      <c r="I238" s="125">
        <v>0</v>
      </c>
      <c r="J238" s="467"/>
      <c r="K238" s="113"/>
      <c r="L238" s="113"/>
      <c r="M238" s="113"/>
      <c r="N238" s="113"/>
    </row>
    <row r="239" spans="1:14" s="8" customFormat="1" ht="17.25" customHeight="1">
      <c r="A239" s="142" t="s">
        <v>332</v>
      </c>
      <c r="B239" s="115"/>
      <c r="C239" s="115">
        <v>530</v>
      </c>
      <c r="D239" s="115"/>
      <c r="E239" s="115">
        <v>465</v>
      </c>
      <c r="F239" s="115">
        <v>530</v>
      </c>
      <c r="G239" s="122"/>
      <c r="H239" s="118"/>
      <c r="I239" s="125"/>
      <c r="J239" s="467"/>
      <c r="K239" s="113"/>
      <c r="L239" s="113"/>
      <c r="M239" s="113"/>
      <c r="N239" s="113"/>
    </row>
    <row r="240" spans="1:14" s="161" customFormat="1" ht="17.25" customHeight="1">
      <c r="A240" s="156" t="s">
        <v>333</v>
      </c>
      <c r="B240" s="157"/>
      <c r="C240" s="157">
        <v>226</v>
      </c>
      <c r="D240" s="157"/>
      <c r="E240" s="157">
        <v>244</v>
      </c>
      <c r="F240" s="157">
        <v>226</v>
      </c>
      <c r="G240" s="158"/>
      <c r="H240" s="159">
        <f>I240+J240+K240+L240+M240+N240</f>
        <v>3383987.8899999997</v>
      </c>
      <c r="I240" s="160">
        <f>SUM(I242:I251)</f>
        <v>1539495.9</v>
      </c>
      <c r="J240" s="468">
        <f>J242+J243+J244+J254+J252+J253+J255</f>
        <v>133215.3</v>
      </c>
      <c r="K240" s="160">
        <f>K242+K243+K244</f>
        <v>0</v>
      </c>
      <c r="L240" s="160">
        <f>L242+L243+L244</f>
        <v>0</v>
      </c>
      <c r="M240" s="160">
        <f>SUM(M243:M257)</f>
        <v>1711276.69</v>
      </c>
      <c r="N240" s="160">
        <f>N242+N243+N244</f>
        <v>0</v>
      </c>
    </row>
    <row r="241" spans="1:14" s="8" customFormat="1" ht="17.25" customHeight="1">
      <c r="A241" s="142" t="s">
        <v>4</v>
      </c>
      <c r="B241" s="115"/>
      <c r="C241" s="115"/>
      <c r="D241" s="115"/>
      <c r="E241" s="115"/>
      <c r="F241" s="115"/>
      <c r="G241" s="122"/>
      <c r="H241" s="118"/>
      <c r="I241" s="125"/>
      <c r="J241" s="467"/>
      <c r="K241" s="113"/>
      <c r="L241" s="113"/>
      <c r="M241" s="113"/>
      <c r="N241" s="113"/>
    </row>
    <row r="242" spans="1:14" s="8" customFormat="1" ht="17.25" customHeight="1">
      <c r="A242" s="142" t="s">
        <v>334</v>
      </c>
      <c r="B242" s="115"/>
      <c r="C242" s="115"/>
      <c r="D242" s="115"/>
      <c r="E242" s="115"/>
      <c r="F242" s="115"/>
      <c r="G242" s="122"/>
      <c r="H242" s="118">
        <f aca="true" t="shared" si="13" ref="H242:H258">I242+J242+K242+L242+M242+N242</f>
        <v>0</v>
      </c>
      <c r="I242" s="125"/>
      <c r="J242" s="467"/>
      <c r="K242" s="113"/>
      <c r="L242" s="113"/>
      <c r="M242" s="113"/>
      <c r="N242" s="113"/>
    </row>
    <row r="243" spans="1:14" s="8" customFormat="1" ht="28.5" customHeight="1">
      <c r="A243" s="142" t="s">
        <v>335</v>
      </c>
      <c r="B243" s="115"/>
      <c r="C243" s="115"/>
      <c r="D243" s="115"/>
      <c r="E243" s="115"/>
      <c r="F243" s="115"/>
      <c r="G243" s="122"/>
      <c r="H243" s="118">
        <f t="shared" si="13"/>
        <v>0</v>
      </c>
      <c r="I243" s="125"/>
      <c r="J243" s="467"/>
      <c r="K243" s="113"/>
      <c r="L243" s="113"/>
      <c r="M243" s="113"/>
      <c r="N243" s="113"/>
    </row>
    <row r="244" spans="1:14" s="8" customFormat="1" ht="17.25" customHeight="1">
      <c r="A244" s="142" t="s">
        <v>336</v>
      </c>
      <c r="B244" s="115"/>
      <c r="C244" s="115">
        <v>226</v>
      </c>
      <c r="D244" s="116" t="s">
        <v>522</v>
      </c>
      <c r="E244" s="115">
        <v>244</v>
      </c>
      <c r="F244" s="115">
        <v>226</v>
      </c>
      <c r="G244" s="102" t="s">
        <v>531</v>
      </c>
      <c r="H244" s="118">
        <f t="shared" si="13"/>
        <v>105269</v>
      </c>
      <c r="I244" s="125">
        <f>101269+4000</f>
        <v>105269</v>
      </c>
      <c r="J244" s="467"/>
      <c r="K244" s="113"/>
      <c r="L244" s="113"/>
      <c r="M244" s="113"/>
      <c r="N244" s="113"/>
    </row>
    <row r="245" spans="1:14" s="8" customFormat="1" ht="17.25" customHeight="1">
      <c r="A245" s="142" t="s">
        <v>336</v>
      </c>
      <c r="B245" s="115"/>
      <c r="C245" s="115">
        <v>226</v>
      </c>
      <c r="D245" s="116" t="s">
        <v>522</v>
      </c>
      <c r="E245" s="115">
        <v>244</v>
      </c>
      <c r="F245" s="115">
        <v>226</v>
      </c>
      <c r="G245" s="102" t="s">
        <v>532</v>
      </c>
      <c r="H245" s="118">
        <f t="shared" si="13"/>
        <v>351045.33999999997</v>
      </c>
      <c r="I245" s="125">
        <f>204187.9+146857.44</f>
        <v>351045.33999999997</v>
      </c>
      <c r="J245" s="467"/>
      <c r="K245" s="113"/>
      <c r="L245" s="113"/>
      <c r="M245" s="113"/>
      <c r="N245" s="113"/>
    </row>
    <row r="246" spans="1:14" s="8" customFormat="1" ht="17.25" customHeight="1">
      <c r="A246" s="142" t="s">
        <v>336</v>
      </c>
      <c r="B246" s="115"/>
      <c r="C246" s="115">
        <v>226</v>
      </c>
      <c r="D246" s="116" t="s">
        <v>522</v>
      </c>
      <c r="E246" s="115">
        <v>244</v>
      </c>
      <c r="F246" s="115">
        <v>226</v>
      </c>
      <c r="G246" s="102" t="s">
        <v>794</v>
      </c>
      <c r="H246" s="118">
        <f t="shared" si="13"/>
        <v>312180</v>
      </c>
      <c r="I246" s="125">
        <v>312180</v>
      </c>
      <c r="J246" s="467"/>
      <c r="K246" s="113"/>
      <c r="L246" s="113"/>
      <c r="M246" s="113"/>
      <c r="N246" s="113"/>
    </row>
    <row r="247" spans="1:14" s="8" customFormat="1" ht="17.25" customHeight="1">
      <c r="A247" s="142" t="s">
        <v>335</v>
      </c>
      <c r="B247" s="487"/>
      <c r="C247" s="392">
        <v>226</v>
      </c>
      <c r="D247" s="488" t="s">
        <v>522</v>
      </c>
      <c r="E247" s="392">
        <v>244</v>
      </c>
      <c r="F247" s="392">
        <v>226</v>
      </c>
      <c r="G247" s="562" t="s">
        <v>827</v>
      </c>
      <c r="H247" s="491">
        <f t="shared" si="13"/>
        <v>3000</v>
      </c>
      <c r="I247" s="486">
        <v>3000</v>
      </c>
      <c r="J247" s="467"/>
      <c r="K247" s="113"/>
      <c r="L247" s="113"/>
      <c r="M247" s="113"/>
      <c r="N247" s="113"/>
    </row>
    <row r="248" spans="1:14" s="8" customFormat="1" ht="17.25" customHeight="1">
      <c r="A248" s="142" t="s">
        <v>336</v>
      </c>
      <c r="B248" s="487"/>
      <c r="C248" s="392">
        <v>226</v>
      </c>
      <c r="D248" s="488" t="s">
        <v>522</v>
      </c>
      <c r="E248" s="392">
        <v>244</v>
      </c>
      <c r="F248" s="392">
        <v>226</v>
      </c>
      <c r="G248" s="180" t="s">
        <v>535</v>
      </c>
      <c r="H248" s="491">
        <f>I248+J248+K248+L248+M248+N248</f>
        <v>8000</v>
      </c>
      <c r="I248" s="486">
        <v>8000</v>
      </c>
      <c r="J248" s="467"/>
      <c r="K248" s="113"/>
      <c r="L248" s="113"/>
      <c r="M248" s="113"/>
      <c r="N248" s="113"/>
    </row>
    <row r="249" spans="1:14" s="8" customFormat="1" ht="17.25" customHeight="1" hidden="1">
      <c r="A249" s="142" t="s">
        <v>336</v>
      </c>
      <c r="B249" s="487"/>
      <c r="C249" s="392">
        <v>226</v>
      </c>
      <c r="D249" s="488" t="s">
        <v>522</v>
      </c>
      <c r="E249" s="392">
        <v>244</v>
      </c>
      <c r="F249" s="392">
        <v>226</v>
      </c>
      <c r="G249" s="180" t="s">
        <v>531</v>
      </c>
      <c r="H249" s="491">
        <f t="shared" si="13"/>
        <v>0</v>
      </c>
      <c r="I249" s="486"/>
      <c r="J249" s="467"/>
      <c r="K249" s="113"/>
      <c r="L249" s="113"/>
      <c r="M249" s="113"/>
      <c r="N249" s="113"/>
    </row>
    <row r="250" spans="1:14" s="8" customFormat="1" ht="17.25" customHeight="1">
      <c r="A250" s="142" t="s">
        <v>336</v>
      </c>
      <c r="B250" s="487"/>
      <c r="C250" s="115">
        <v>226</v>
      </c>
      <c r="D250" s="488" t="s">
        <v>522</v>
      </c>
      <c r="E250" s="115">
        <v>244</v>
      </c>
      <c r="F250" s="115">
        <v>226</v>
      </c>
      <c r="G250" s="562" t="s">
        <v>827</v>
      </c>
      <c r="H250" s="491">
        <f t="shared" si="13"/>
        <v>760001.56</v>
      </c>
      <c r="I250" s="486">
        <v>760001.56</v>
      </c>
      <c r="J250" s="467"/>
      <c r="K250" s="113"/>
      <c r="L250" s="113"/>
      <c r="M250" s="113"/>
      <c r="N250" s="113"/>
    </row>
    <row r="251" spans="1:14" s="8" customFormat="1" ht="17.25" customHeight="1" hidden="1">
      <c r="A251" s="142" t="s">
        <v>336</v>
      </c>
      <c r="B251" s="487"/>
      <c r="C251" s="115">
        <v>226</v>
      </c>
      <c r="D251" s="488" t="s">
        <v>522</v>
      </c>
      <c r="E251" s="115">
        <v>244</v>
      </c>
      <c r="F251" s="115">
        <v>226</v>
      </c>
      <c r="G251" s="117" t="s">
        <v>532</v>
      </c>
      <c r="H251" s="491">
        <f t="shared" si="13"/>
        <v>0</v>
      </c>
      <c r="I251" s="486"/>
      <c r="J251" s="467"/>
      <c r="K251" s="113"/>
      <c r="L251" s="113"/>
      <c r="M251" s="113"/>
      <c r="N251" s="113"/>
    </row>
    <row r="252" spans="1:14" s="8" customFormat="1" ht="17.25" customHeight="1">
      <c r="A252" s="142" t="s">
        <v>336</v>
      </c>
      <c r="B252" s="487"/>
      <c r="C252" s="115">
        <v>226</v>
      </c>
      <c r="D252" s="488" t="s">
        <v>845</v>
      </c>
      <c r="E252" s="115">
        <v>244</v>
      </c>
      <c r="F252" s="115">
        <v>226</v>
      </c>
      <c r="G252" s="117" t="s">
        <v>846</v>
      </c>
      <c r="H252" s="491">
        <f t="shared" si="13"/>
        <v>112000</v>
      </c>
      <c r="I252" s="486"/>
      <c r="J252" s="467">
        <f>56000*2</f>
        <v>112000</v>
      </c>
      <c r="K252" s="113"/>
      <c r="L252" s="113"/>
      <c r="M252" s="113"/>
      <c r="N252" s="113"/>
    </row>
    <row r="253" spans="1:14" s="8" customFormat="1" ht="17.25" customHeight="1" hidden="1">
      <c r="A253" s="142" t="s">
        <v>844</v>
      </c>
      <c r="B253" s="487"/>
      <c r="C253" s="115">
        <v>226</v>
      </c>
      <c r="D253" s="498" t="s">
        <v>845</v>
      </c>
      <c r="E253" s="115">
        <v>244</v>
      </c>
      <c r="F253" s="115">
        <v>226</v>
      </c>
      <c r="G253" s="117" t="s">
        <v>846</v>
      </c>
      <c r="H253" s="491">
        <f>I253+J253+K253+L253+M253+N253</f>
        <v>0</v>
      </c>
      <c r="I253" s="485">
        <v>0</v>
      </c>
      <c r="J253" s="486"/>
      <c r="K253" s="113"/>
      <c r="L253" s="113"/>
      <c r="M253" s="113"/>
      <c r="N253" s="113"/>
    </row>
    <row r="254" spans="1:14" s="8" customFormat="1" ht="17.25" customHeight="1">
      <c r="A254" s="142" t="s">
        <v>336</v>
      </c>
      <c r="B254" s="115"/>
      <c r="C254" s="115">
        <v>226</v>
      </c>
      <c r="D254" s="116">
        <v>901270000</v>
      </c>
      <c r="E254" s="115">
        <v>244</v>
      </c>
      <c r="F254" s="115">
        <v>226</v>
      </c>
      <c r="G254" s="102" t="s">
        <v>801</v>
      </c>
      <c r="H254" s="118">
        <f t="shared" si="13"/>
        <v>11215.3</v>
      </c>
      <c r="I254" s="125"/>
      <c r="J254" s="467">
        <v>11215.3</v>
      </c>
      <c r="K254" s="113"/>
      <c r="L254" s="113"/>
      <c r="M254" s="113"/>
      <c r="N254" s="113"/>
    </row>
    <row r="255" spans="1:14" s="8" customFormat="1" ht="17.25" customHeight="1">
      <c r="A255" s="142" t="s">
        <v>336</v>
      </c>
      <c r="B255" s="115"/>
      <c r="C255" s="115">
        <v>226</v>
      </c>
      <c r="D255" s="116" t="s">
        <v>954</v>
      </c>
      <c r="E255" s="115">
        <v>244</v>
      </c>
      <c r="F255" s="115">
        <v>226</v>
      </c>
      <c r="G255" s="122">
        <v>91600000003</v>
      </c>
      <c r="H255" s="118"/>
      <c r="I255" s="125"/>
      <c r="J255" s="467">
        <v>10000</v>
      </c>
      <c r="K255" s="113"/>
      <c r="L255" s="113"/>
      <c r="M255" s="113"/>
      <c r="N255" s="113"/>
    </row>
    <row r="256" spans="1:14" s="8" customFormat="1" ht="17.25" customHeight="1">
      <c r="A256" s="142" t="s">
        <v>336</v>
      </c>
      <c r="B256" s="115"/>
      <c r="C256" s="115">
        <v>226</v>
      </c>
      <c r="D256" s="116" t="s">
        <v>521</v>
      </c>
      <c r="E256" s="115">
        <v>244</v>
      </c>
      <c r="F256" s="115">
        <v>226</v>
      </c>
      <c r="G256" s="102" t="s">
        <v>533</v>
      </c>
      <c r="H256" s="118">
        <f t="shared" si="13"/>
        <v>1711276.69</v>
      </c>
      <c r="I256" s="125">
        <v>0</v>
      </c>
      <c r="J256" s="125"/>
      <c r="K256" s="113"/>
      <c r="L256" s="113"/>
      <c r="M256" s="113">
        <f>1519276.69-1000+193000</f>
        <v>1711276.69</v>
      </c>
      <c r="N256" s="113"/>
    </row>
    <row r="257" spans="1:14" s="8" customFormat="1" ht="17.25" customHeight="1">
      <c r="A257" s="142" t="s">
        <v>336</v>
      </c>
      <c r="B257" s="487"/>
      <c r="C257" s="115">
        <v>226</v>
      </c>
      <c r="D257" s="498" t="s">
        <v>521</v>
      </c>
      <c r="E257" s="115">
        <v>244</v>
      </c>
      <c r="F257" s="115">
        <v>226</v>
      </c>
      <c r="G257" s="117" t="s">
        <v>533</v>
      </c>
      <c r="H257" s="491">
        <f t="shared" si="13"/>
        <v>0</v>
      </c>
      <c r="I257" s="485">
        <v>0</v>
      </c>
      <c r="J257" s="485">
        <v>0</v>
      </c>
      <c r="K257" s="499">
        <v>0</v>
      </c>
      <c r="L257" s="499">
        <v>0</v>
      </c>
      <c r="M257" s="497"/>
      <c r="N257" s="113"/>
    </row>
    <row r="258" spans="1:14" s="8" customFormat="1" ht="17.25" customHeight="1">
      <c r="A258" s="142" t="s">
        <v>400</v>
      </c>
      <c r="B258" s="115"/>
      <c r="C258" s="115">
        <v>297</v>
      </c>
      <c r="D258" s="116"/>
      <c r="E258" s="115">
        <v>244</v>
      </c>
      <c r="F258" s="115">
        <v>296</v>
      </c>
      <c r="G258" s="102"/>
      <c r="H258" s="118">
        <f t="shared" si="13"/>
        <v>0</v>
      </c>
      <c r="I258" s="125"/>
      <c r="J258" s="125"/>
      <c r="K258" s="113"/>
      <c r="L258" s="113"/>
      <c r="M258" s="113">
        <v>0</v>
      </c>
      <c r="N258" s="113"/>
    </row>
    <row r="259" spans="1:14" s="8" customFormat="1" ht="17.25" customHeight="1">
      <c r="A259" s="136" t="s">
        <v>53</v>
      </c>
      <c r="B259" s="115">
        <v>300</v>
      </c>
      <c r="C259" s="115" t="s">
        <v>10</v>
      </c>
      <c r="D259" s="115"/>
      <c r="E259" s="115"/>
      <c r="F259" s="115" t="s">
        <v>10</v>
      </c>
      <c r="G259" s="122"/>
      <c r="H259" s="118">
        <f>H261+H262</f>
        <v>0</v>
      </c>
      <c r="I259" s="125">
        <f aca="true" t="shared" si="14" ref="I259:N259">I261+I262</f>
        <v>0</v>
      </c>
      <c r="J259" s="125">
        <f t="shared" si="14"/>
        <v>0</v>
      </c>
      <c r="K259" s="125">
        <f t="shared" si="14"/>
        <v>0</v>
      </c>
      <c r="L259" s="125">
        <f t="shared" si="14"/>
        <v>0</v>
      </c>
      <c r="M259" s="125">
        <f t="shared" si="14"/>
        <v>0</v>
      </c>
      <c r="N259" s="125">
        <f t="shared" si="14"/>
        <v>0</v>
      </c>
    </row>
    <row r="260" spans="1:14" s="8" customFormat="1" ht="14.25" customHeight="1">
      <c r="A260" s="136" t="s">
        <v>3</v>
      </c>
      <c r="B260" s="115"/>
      <c r="C260" s="148"/>
      <c r="D260" s="115"/>
      <c r="E260" s="115"/>
      <c r="F260" s="148"/>
      <c r="G260" s="149"/>
      <c r="H260" s="118"/>
      <c r="I260" s="125"/>
      <c r="J260" s="125"/>
      <c r="K260" s="113"/>
      <c r="L260" s="113"/>
      <c r="M260" s="113"/>
      <c r="N260" s="113"/>
    </row>
    <row r="261" spans="1:14" s="8" customFormat="1" ht="16.5" customHeight="1">
      <c r="A261" s="136" t="s">
        <v>54</v>
      </c>
      <c r="B261" s="144">
        <v>310</v>
      </c>
      <c r="C261" s="150"/>
      <c r="D261" s="144"/>
      <c r="E261" s="144"/>
      <c r="F261" s="150"/>
      <c r="G261" s="151"/>
      <c r="H261" s="118">
        <f>I261+J261+K261+L261+M261+N261</f>
        <v>0</v>
      </c>
      <c r="I261" s="125"/>
      <c r="J261" s="125"/>
      <c r="K261" s="113"/>
      <c r="L261" s="113"/>
      <c r="M261" s="113"/>
      <c r="N261" s="113"/>
    </row>
    <row r="262" spans="1:14" s="152" customFormat="1" ht="15" customHeight="1">
      <c r="A262" s="136" t="s">
        <v>55</v>
      </c>
      <c r="B262" s="115">
        <v>320</v>
      </c>
      <c r="C262" s="115"/>
      <c r="D262" s="115"/>
      <c r="E262" s="115"/>
      <c r="F262" s="115"/>
      <c r="G262" s="122"/>
      <c r="H262" s="118">
        <f>I262+J262+K262+L262+M262+N262</f>
        <v>0</v>
      </c>
      <c r="I262" s="125"/>
      <c r="J262" s="125"/>
      <c r="K262" s="113"/>
      <c r="L262" s="113"/>
      <c r="M262" s="113"/>
      <c r="N262" s="113"/>
    </row>
    <row r="263" spans="1:14" s="152" customFormat="1" ht="17.25" customHeight="1">
      <c r="A263" s="136" t="s">
        <v>56</v>
      </c>
      <c r="B263" s="115">
        <v>400</v>
      </c>
      <c r="C263" s="115"/>
      <c r="D263" s="115"/>
      <c r="E263" s="115"/>
      <c r="F263" s="115"/>
      <c r="G263" s="122"/>
      <c r="H263" s="118">
        <f>H265+H266</f>
        <v>0</v>
      </c>
      <c r="I263" s="125">
        <f aca="true" t="shared" si="15" ref="I263:N263">I265+I266</f>
        <v>0</v>
      </c>
      <c r="J263" s="125">
        <f t="shared" si="15"/>
        <v>0</v>
      </c>
      <c r="K263" s="125">
        <f t="shared" si="15"/>
        <v>0</v>
      </c>
      <c r="L263" s="125">
        <f t="shared" si="15"/>
        <v>0</v>
      </c>
      <c r="M263" s="125">
        <f t="shared" si="15"/>
        <v>0</v>
      </c>
      <c r="N263" s="125">
        <f t="shared" si="15"/>
        <v>0</v>
      </c>
    </row>
    <row r="264" spans="1:14" s="152" customFormat="1" ht="14.25" customHeight="1">
      <c r="A264" s="136" t="s">
        <v>3</v>
      </c>
      <c r="B264" s="115"/>
      <c r="C264" s="148"/>
      <c r="D264" s="115"/>
      <c r="E264" s="115"/>
      <c r="F264" s="148"/>
      <c r="G264" s="149"/>
      <c r="H264" s="118"/>
      <c r="I264" s="125"/>
      <c r="J264" s="125"/>
      <c r="K264" s="113"/>
      <c r="L264" s="113"/>
      <c r="M264" s="113"/>
      <c r="N264" s="113"/>
    </row>
    <row r="265" spans="1:14" s="152" customFormat="1" ht="15.75" customHeight="1">
      <c r="A265" s="136" t="s">
        <v>57</v>
      </c>
      <c r="B265" s="144">
        <v>410</v>
      </c>
      <c r="C265" s="150"/>
      <c r="D265" s="144"/>
      <c r="E265" s="144"/>
      <c r="F265" s="150"/>
      <c r="G265" s="151"/>
      <c r="H265" s="118">
        <f aca="true" t="shared" si="16" ref="H265:H287">I265+J265+K265+L265+M265+N265</f>
        <v>0</v>
      </c>
      <c r="I265" s="125"/>
      <c r="J265" s="125"/>
      <c r="K265" s="113"/>
      <c r="L265" s="113"/>
      <c r="M265" s="113"/>
      <c r="N265" s="113"/>
    </row>
    <row r="266" spans="1:14" s="152" customFormat="1" ht="13.5" customHeight="1">
      <c r="A266" s="136" t="s">
        <v>58</v>
      </c>
      <c r="B266" s="115">
        <v>420</v>
      </c>
      <c r="C266" s="115"/>
      <c r="D266" s="115"/>
      <c r="E266" s="115"/>
      <c r="F266" s="115"/>
      <c r="G266" s="122"/>
      <c r="H266" s="118">
        <f t="shared" si="16"/>
        <v>0</v>
      </c>
      <c r="I266" s="125"/>
      <c r="J266" s="125"/>
      <c r="K266" s="113"/>
      <c r="L266" s="113"/>
      <c r="M266" s="113"/>
      <c r="N266" s="113"/>
    </row>
    <row r="267" spans="1:14" s="152" customFormat="1" ht="28.5" customHeight="1">
      <c r="A267" s="136" t="s">
        <v>337</v>
      </c>
      <c r="B267" s="115">
        <v>500</v>
      </c>
      <c r="C267" s="115" t="s">
        <v>10</v>
      </c>
      <c r="D267" s="115"/>
      <c r="E267" s="115"/>
      <c r="F267" s="115" t="s">
        <v>10</v>
      </c>
      <c r="G267" s="122"/>
      <c r="H267" s="118">
        <f>I267+J267+K267+L267+M267+N267</f>
        <v>10467996.099999998</v>
      </c>
      <c r="I267" s="125">
        <f>I277+I278+I275+I276</f>
        <v>4563145.55</v>
      </c>
      <c r="J267" s="125">
        <f>SUM(J268:J286)</f>
        <v>685308.35</v>
      </c>
      <c r="K267" s="125">
        <f>K268+K277</f>
        <v>0</v>
      </c>
      <c r="L267" s="125">
        <f>L268+L277</f>
        <v>0</v>
      </c>
      <c r="M267" s="125">
        <f>SUM(M268:M280)</f>
        <v>5219542.199999999</v>
      </c>
      <c r="N267" s="125">
        <f>N268+N277</f>
        <v>0</v>
      </c>
    </row>
    <row r="268" spans="1:14" s="152" customFormat="1" ht="18" customHeight="1">
      <c r="A268" s="136" t="s">
        <v>59</v>
      </c>
      <c r="B268" s="115"/>
      <c r="C268" s="115">
        <v>121</v>
      </c>
      <c r="D268" s="116" t="s">
        <v>521</v>
      </c>
      <c r="E268" s="115"/>
      <c r="F268" s="115">
        <v>121</v>
      </c>
      <c r="G268" s="117" t="s">
        <v>363</v>
      </c>
      <c r="H268" s="118">
        <f t="shared" si="16"/>
        <v>1051898.98</v>
      </c>
      <c r="I268" s="153">
        <v>0</v>
      </c>
      <c r="J268" s="125"/>
      <c r="K268" s="113"/>
      <c r="L268" s="113"/>
      <c r="M268" s="113">
        <f>1051898.98</f>
        <v>1051898.98</v>
      </c>
      <c r="N268" s="113"/>
    </row>
    <row r="269" spans="1:14" s="152" customFormat="1" ht="18" customHeight="1">
      <c r="A269" s="136" t="s">
        <v>59</v>
      </c>
      <c r="B269" s="115"/>
      <c r="C269" s="115">
        <v>124</v>
      </c>
      <c r="D269" s="116" t="s">
        <v>521</v>
      </c>
      <c r="E269" s="115"/>
      <c r="F269" s="115">
        <v>124</v>
      </c>
      <c r="G269" s="117" t="s">
        <v>363</v>
      </c>
      <c r="H269" s="118">
        <f t="shared" si="16"/>
        <v>122859.79</v>
      </c>
      <c r="I269" s="153">
        <v>0</v>
      </c>
      <c r="J269" s="125"/>
      <c r="K269" s="113"/>
      <c r="L269" s="113"/>
      <c r="M269" s="113">
        <v>122859.79</v>
      </c>
      <c r="N269" s="113"/>
    </row>
    <row r="270" spans="1:14" s="152" customFormat="1" ht="18" customHeight="1">
      <c r="A270" s="136" t="s">
        <v>59</v>
      </c>
      <c r="B270" s="115"/>
      <c r="C270" s="115">
        <v>131</v>
      </c>
      <c r="D270" s="116" t="s">
        <v>521</v>
      </c>
      <c r="E270" s="115"/>
      <c r="F270" s="115">
        <v>131</v>
      </c>
      <c r="G270" s="117" t="s">
        <v>363</v>
      </c>
      <c r="H270" s="118">
        <f t="shared" si="16"/>
        <v>3930210.26</v>
      </c>
      <c r="I270" s="153">
        <v>0</v>
      </c>
      <c r="J270" s="125"/>
      <c r="K270" s="113"/>
      <c r="L270" s="113"/>
      <c r="M270" s="113">
        <f>3071859.19+32320.45+72402.32+10160+743468.3</f>
        <v>3930210.26</v>
      </c>
      <c r="N270" s="113"/>
    </row>
    <row r="271" spans="1:14" s="152" customFormat="1" ht="18" customHeight="1">
      <c r="A271" s="136" t="s">
        <v>59</v>
      </c>
      <c r="B271" s="115"/>
      <c r="C271" s="115">
        <v>135</v>
      </c>
      <c r="D271" s="116" t="s">
        <v>521</v>
      </c>
      <c r="E271" s="115"/>
      <c r="F271" s="115">
        <v>135</v>
      </c>
      <c r="G271" s="117" t="s">
        <v>363</v>
      </c>
      <c r="H271" s="118">
        <f aca="true" t="shared" si="17" ref="H271:H276">I271+J271+K271+L271+M271+N271</f>
        <v>99469.92</v>
      </c>
      <c r="I271" s="153">
        <v>0</v>
      </c>
      <c r="J271" s="125"/>
      <c r="K271" s="113"/>
      <c r="L271" s="113"/>
      <c r="M271" s="113">
        <v>99469.92</v>
      </c>
      <c r="N271" s="113"/>
    </row>
    <row r="272" spans="1:14" s="152" customFormat="1" ht="18" customHeight="1">
      <c r="A272" s="136" t="s">
        <v>59</v>
      </c>
      <c r="B272" s="115"/>
      <c r="C272" s="115">
        <v>155</v>
      </c>
      <c r="D272" s="116" t="s">
        <v>521</v>
      </c>
      <c r="E272" s="115"/>
      <c r="F272" s="115">
        <v>155</v>
      </c>
      <c r="G272" s="117" t="s">
        <v>363</v>
      </c>
      <c r="H272" s="118">
        <f t="shared" si="17"/>
        <v>15103.25</v>
      </c>
      <c r="I272" s="153">
        <v>0</v>
      </c>
      <c r="J272" s="125"/>
      <c r="K272" s="113"/>
      <c r="L272" s="113"/>
      <c r="M272" s="113">
        <f>103.25+15000</f>
        <v>15103.25</v>
      </c>
      <c r="N272" s="113"/>
    </row>
    <row r="273" spans="1:14" s="152" customFormat="1" ht="18" customHeight="1" hidden="1">
      <c r="A273" s="136" t="s">
        <v>59</v>
      </c>
      <c r="B273" s="487"/>
      <c r="C273" s="489">
        <v>131</v>
      </c>
      <c r="D273" s="498" t="s">
        <v>521</v>
      </c>
      <c r="E273" s="489"/>
      <c r="F273" s="489">
        <v>131</v>
      </c>
      <c r="G273" s="492" t="s">
        <v>363</v>
      </c>
      <c r="H273" s="491">
        <f t="shared" si="17"/>
        <v>0</v>
      </c>
      <c r="I273" s="496">
        <v>0</v>
      </c>
      <c r="J273" s="485">
        <v>0</v>
      </c>
      <c r="K273" s="499">
        <v>0</v>
      </c>
      <c r="L273" s="499">
        <v>0</v>
      </c>
      <c r="M273" s="497"/>
      <c r="N273" s="113"/>
    </row>
    <row r="274" spans="1:14" s="152" customFormat="1" ht="18" customHeight="1" hidden="1">
      <c r="A274" s="136" t="s">
        <v>59</v>
      </c>
      <c r="B274" s="487"/>
      <c r="C274" s="489">
        <v>155</v>
      </c>
      <c r="D274" s="498" t="s">
        <v>521</v>
      </c>
      <c r="E274" s="489"/>
      <c r="F274" s="489">
        <v>155</v>
      </c>
      <c r="G274" s="492" t="s">
        <v>363</v>
      </c>
      <c r="H274" s="491">
        <f t="shared" si="17"/>
        <v>0</v>
      </c>
      <c r="I274" s="496">
        <v>0</v>
      </c>
      <c r="J274" s="485">
        <v>0</v>
      </c>
      <c r="K274" s="499">
        <v>0</v>
      </c>
      <c r="L274" s="499"/>
      <c r="M274" s="497"/>
      <c r="N274" s="113"/>
    </row>
    <row r="275" spans="1:14" s="152" customFormat="1" ht="18" customHeight="1">
      <c r="A275" s="136" t="s">
        <v>59</v>
      </c>
      <c r="B275" s="487"/>
      <c r="C275" s="489">
        <v>131</v>
      </c>
      <c r="D275" s="488" t="s">
        <v>522</v>
      </c>
      <c r="E275" s="489"/>
      <c r="F275" s="489">
        <v>131</v>
      </c>
      <c r="G275" s="493" t="s">
        <v>525</v>
      </c>
      <c r="H275" s="491">
        <f t="shared" si="17"/>
        <v>1056346.27</v>
      </c>
      <c r="I275" s="497">
        <v>1056346.27</v>
      </c>
      <c r="J275" s="125"/>
      <c r="K275" s="113"/>
      <c r="L275" s="113"/>
      <c r="M275" s="113"/>
      <c r="N275" s="113"/>
    </row>
    <row r="276" spans="1:14" s="152" customFormat="1" ht="18" customHeight="1" hidden="1">
      <c r="A276" s="136" t="s">
        <v>59</v>
      </c>
      <c r="B276" s="487"/>
      <c r="C276" s="489">
        <v>131</v>
      </c>
      <c r="D276" s="488" t="s">
        <v>522</v>
      </c>
      <c r="E276" s="489"/>
      <c r="F276" s="489">
        <v>131</v>
      </c>
      <c r="G276" s="493" t="s">
        <v>523</v>
      </c>
      <c r="H276" s="491">
        <f t="shared" si="17"/>
        <v>0</v>
      </c>
      <c r="I276" s="497"/>
      <c r="J276" s="125"/>
      <c r="K276" s="113"/>
      <c r="L276" s="113"/>
      <c r="M276" s="113"/>
      <c r="N276" s="113"/>
    </row>
    <row r="277" spans="1:14" s="152" customFormat="1" ht="18" customHeight="1">
      <c r="A277" s="136" t="s">
        <v>59</v>
      </c>
      <c r="B277" s="115"/>
      <c r="C277" s="115">
        <v>131</v>
      </c>
      <c r="D277" s="116" t="s">
        <v>522</v>
      </c>
      <c r="E277" s="115"/>
      <c r="F277" s="115">
        <v>152</v>
      </c>
      <c r="G277" s="102" t="s">
        <v>526</v>
      </c>
      <c r="H277" s="118">
        <f t="shared" si="16"/>
        <v>2843953.2199999997</v>
      </c>
      <c r="I277" s="153">
        <f>2502598.75+341354.47</f>
        <v>2843953.2199999997</v>
      </c>
      <c r="J277" s="125"/>
      <c r="K277" s="113"/>
      <c r="L277" s="113"/>
      <c r="M277" s="113"/>
      <c r="N277" s="113"/>
    </row>
    <row r="278" spans="1:14" s="152" customFormat="1" ht="18" customHeight="1">
      <c r="A278" s="136" t="s">
        <v>59</v>
      </c>
      <c r="B278" s="115"/>
      <c r="C278" s="115">
        <v>131</v>
      </c>
      <c r="D278" s="116" t="s">
        <v>522</v>
      </c>
      <c r="E278" s="115"/>
      <c r="F278" s="115">
        <v>121</v>
      </c>
      <c r="G278" s="102" t="s">
        <v>527</v>
      </c>
      <c r="H278" s="118">
        <f t="shared" si="16"/>
        <v>662846.0599999999</v>
      </c>
      <c r="I278" s="153">
        <f>662558.44+287.62</f>
        <v>662846.0599999999</v>
      </c>
      <c r="J278" s="125"/>
      <c r="K278" s="113"/>
      <c r="L278" s="113"/>
      <c r="M278" s="113"/>
      <c r="N278" s="113"/>
    </row>
    <row r="279" spans="1:14" s="152" customFormat="1" ht="18" customHeight="1">
      <c r="A279" s="136" t="s">
        <v>59</v>
      </c>
      <c r="B279" s="115"/>
      <c r="C279" s="115">
        <v>152</v>
      </c>
      <c r="D279" s="116" t="s">
        <v>755</v>
      </c>
      <c r="E279" s="115"/>
      <c r="F279" s="115">
        <v>152</v>
      </c>
      <c r="G279" s="102" t="s">
        <v>526</v>
      </c>
      <c r="H279" s="118">
        <f t="shared" si="16"/>
        <v>501964.05000000005</v>
      </c>
      <c r="I279" s="153">
        <v>0</v>
      </c>
      <c r="J279" s="125">
        <f>409277.65+92686.4</f>
        <v>501964.05000000005</v>
      </c>
      <c r="K279" s="113"/>
      <c r="L279" s="113"/>
      <c r="M279" s="113"/>
      <c r="N279" s="113"/>
    </row>
    <row r="280" spans="1:14" s="152" customFormat="1" ht="18" customHeight="1">
      <c r="A280" s="136" t="s">
        <v>59</v>
      </c>
      <c r="B280" s="115"/>
      <c r="C280" s="115">
        <v>152</v>
      </c>
      <c r="D280" s="116" t="s">
        <v>756</v>
      </c>
      <c r="E280" s="115"/>
      <c r="F280" s="115">
        <v>152</v>
      </c>
      <c r="G280" s="102" t="s">
        <v>526</v>
      </c>
      <c r="H280" s="118">
        <f t="shared" si="16"/>
        <v>37449.32</v>
      </c>
      <c r="I280" s="153">
        <v>0</v>
      </c>
      <c r="J280" s="125">
        <f>36183.22+1266.1</f>
        <v>37449.32</v>
      </c>
      <c r="K280" s="113"/>
      <c r="L280" s="113"/>
      <c r="M280" s="113"/>
      <c r="N280" s="113"/>
    </row>
    <row r="281" spans="1:14" s="152" customFormat="1" ht="18" customHeight="1">
      <c r="A281" s="136" t="s">
        <v>59</v>
      </c>
      <c r="B281" s="115"/>
      <c r="C281" s="115">
        <v>152</v>
      </c>
      <c r="D281" s="116" t="s">
        <v>757</v>
      </c>
      <c r="E281" s="115"/>
      <c r="F281" s="115">
        <v>152</v>
      </c>
      <c r="G281" s="102" t="s">
        <v>526</v>
      </c>
      <c r="H281" s="118">
        <f>I281+J281+K281+L281+M281+N281</f>
        <v>91829.08</v>
      </c>
      <c r="I281" s="153">
        <v>0</v>
      </c>
      <c r="J281" s="125">
        <f>40124.4+51704.68</f>
        <v>91829.08</v>
      </c>
      <c r="K281" s="113"/>
      <c r="L281" s="113"/>
      <c r="M281" s="113"/>
      <c r="N281" s="113"/>
    </row>
    <row r="282" spans="1:14" s="152" customFormat="1" ht="18" customHeight="1">
      <c r="A282" s="136" t="s">
        <v>59</v>
      </c>
      <c r="B282" s="115"/>
      <c r="C282" s="115">
        <v>152</v>
      </c>
      <c r="D282" s="116" t="s">
        <v>758</v>
      </c>
      <c r="E282" s="115"/>
      <c r="F282" s="115">
        <v>152</v>
      </c>
      <c r="G282" s="102" t="s">
        <v>526</v>
      </c>
      <c r="H282" s="118">
        <f t="shared" si="16"/>
        <v>53116.98</v>
      </c>
      <c r="I282" s="153">
        <v>0</v>
      </c>
      <c r="J282" s="125">
        <v>53116.98</v>
      </c>
      <c r="K282" s="113"/>
      <c r="L282" s="113"/>
      <c r="M282" s="113"/>
      <c r="N282" s="113"/>
    </row>
    <row r="283" spans="1:14" s="152" customFormat="1" ht="18" customHeight="1" hidden="1">
      <c r="A283" s="136" t="s">
        <v>59</v>
      </c>
      <c r="B283" s="487"/>
      <c r="C283" s="489">
        <v>152</v>
      </c>
      <c r="D283" s="489">
        <v>901480000</v>
      </c>
      <c r="E283" s="489"/>
      <c r="F283" s="489">
        <v>152</v>
      </c>
      <c r="G283" s="492" t="s">
        <v>526</v>
      </c>
      <c r="H283" s="491">
        <f t="shared" si="16"/>
        <v>0</v>
      </c>
      <c r="I283" s="496">
        <v>0</v>
      </c>
      <c r="J283" s="486"/>
      <c r="K283" s="113"/>
      <c r="L283" s="113"/>
      <c r="M283" s="113"/>
      <c r="N283" s="113"/>
    </row>
    <row r="284" spans="1:14" s="152" customFormat="1" ht="18" customHeight="1" hidden="1">
      <c r="A284" s="136" t="s">
        <v>59</v>
      </c>
      <c r="B284" s="487"/>
      <c r="C284" s="489">
        <v>152</v>
      </c>
      <c r="D284" s="498" t="s">
        <v>756</v>
      </c>
      <c r="E284" s="489"/>
      <c r="F284" s="489">
        <v>152</v>
      </c>
      <c r="G284" s="492" t="s">
        <v>526</v>
      </c>
      <c r="H284" s="491">
        <f t="shared" si="16"/>
        <v>0</v>
      </c>
      <c r="I284" s="496">
        <v>0</v>
      </c>
      <c r="J284" s="486"/>
      <c r="K284" s="113"/>
      <c r="L284" s="113"/>
      <c r="M284" s="113"/>
      <c r="N284" s="113"/>
    </row>
    <row r="285" spans="1:14" s="152" customFormat="1" ht="18" customHeight="1" hidden="1">
      <c r="A285" s="136" t="s">
        <v>59</v>
      </c>
      <c r="B285" s="487"/>
      <c r="C285" s="489">
        <v>152</v>
      </c>
      <c r="D285" s="498" t="s">
        <v>757</v>
      </c>
      <c r="E285" s="489"/>
      <c r="F285" s="489">
        <v>152</v>
      </c>
      <c r="G285" s="492" t="s">
        <v>526</v>
      </c>
      <c r="H285" s="491">
        <f t="shared" si="16"/>
        <v>0</v>
      </c>
      <c r="I285" s="496">
        <v>0</v>
      </c>
      <c r="J285" s="486"/>
      <c r="K285" s="113"/>
      <c r="L285" s="113"/>
      <c r="M285" s="113"/>
      <c r="N285" s="113"/>
    </row>
    <row r="286" spans="1:14" s="152" customFormat="1" ht="18" customHeight="1">
      <c r="A286" s="136" t="s">
        <v>59</v>
      </c>
      <c r="B286" s="487"/>
      <c r="C286" s="489">
        <v>152</v>
      </c>
      <c r="D286" s="498" t="s">
        <v>829</v>
      </c>
      <c r="E286" s="489"/>
      <c r="F286" s="489">
        <v>152</v>
      </c>
      <c r="G286" s="492" t="s">
        <v>526</v>
      </c>
      <c r="H286" s="491">
        <f t="shared" si="16"/>
        <v>948.92</v>
      </c>
      <c r="I286" s="496">
        <v>0</v>
      </c>
      <c r="J286" s="485">
        <v>948.92</v>
      </c>
      <c r="K286" s="113"/>
      <c r="L286" s="113"/>
      <c r="M286" s="113"/>
      <c r="N286" s="113"/>
    </row>
    <row r="287" spans="1:14" s="152" customFormat="1" ht="18" customHeight="1">
      <c r="A287" s="136" t="s">
        <v>60</v>
      </c>
      <c r="B287" s="115">
        <v>600</v>
      </c>
      <c r="C287" s="115" t="s">
        <v>10</v>
      </c>
      <c r="D287" s="115"/>
      <c r="E287" s="115"/>
      <c r="F287" s="115" t="s">
        <v>10</v>
      </c>
      <c r="G287" s="122"/>
      <c r="H287" s="154">
        <f t="shared" si="16"/>
        <v>0</v>
      </c>
      <c r="I287" s="155">
        <f>I267+I11-I94</f>
        <v>0</v>
      </c>
      <c r="J287" s="506">
        <f>J267+J11-J94</f>
        <v>0</v>
      </c>
      <c r="K287" s="155">
        <f>K267+K11-K94</f>
        <v>0</v>
      </c>
      <c r="L287" s="155">
        <f>L267+L11-L94</f>
        <v>0</v>
      </c>
      <c r="M287" s="155">
        <f>M267+M11-M94</f>
        <v>0</v>
      </c>
      <c r="N287" s="120"/>
    </row>
    <row r="288" spans="1:14" ht="22.5">
      <c r="A288" s="38"/>
      <c r="B288" s="21"/>
      <c r="C288" s="21"/>
      <c r="D288" s="21"/>
      <c r="E288" s="21"/>
      <c r="F288" s="21"/>
      <c r="G288" s="21"/>
      <c r="H288" s="21"/>
      <c r="I288" s="28" t="s">
        <v>754</v>
      </c>
      <c r="J288" s="21"/>
      <c r="K288" s="21"/>
      <c r="L288" s="21"/>
      <c r="M288" s="21"/>
      <c r="N288" s="22" t="s">
        <v>77</v>
      </c>
    </row>
    <row r="289" spans="1:14" ht="14.25" customHeight="1">
      <c r="A289" s="38"/>
      <c r="B289" s="21"/>
      <c r="C289" s="21"/>
      <c r="D289" s="21"/>
      <c r="E289" s="21"/>
      <c r="F289" s="21"/>
      <c r="G289" s="21"/>
      <c r="H289" s="630"/>
      <c r="I289" s="630"/>
      <c r="J289" s="630"/>
      <c r="K289" s="630"/>
      <c r="L289" s="21"/>
      <c r="M289" s="21"/>
      <c r="N289" s="21"/>
    </row>
    <row r="290" spans="1:14" ht="12.75" customHeight="1">
      <c r="A290" s="38"/>
      <c r="B290" s="21"/>
      <c r="C290" s="21"/>
      <c r="D290" s="21"/>
      <c r="E290" s="21"/>
      <c r="F290" s="21"/>
      <c r="G290" s="21"/>
      <c r="H290" s="626" t="s">
        <v>41</v>
      </c>
      <c r="I290" s="626"/>
      <c r="J290" s="626"/>
      <c r="K290" s="626"/>
      <c r="L290" s="21"/>
      <c r="M290" s="21"/>
      <c r="N290" s="21"/>
    </row>
    <row r="291" spans="1:14" ht="12.75" customHeight="1">
      <c r="A291" s="38"/>
      <c r="B291" s="21"/>
      <c r="C291" s="21"/>
      <c r="D291" s="21"/>
      <c r="E291" s="21"/>
      <c r="F291" s="21"/>
      <c r="G291" s="21"/>
      <c r="H291" s="625" t="s">
        <v>519</v>
      </c>
      <c r="I291" s="625"/>
      <c r="J291" s="625"/>
      <c r="K291" s="625"/>
      <c r="L291" s="21"/>
      <c r="M291" s="21"/>
      <c r="N291" s="21"/>
    </row>
    <row r="292" spans="1:14" ht="12.75" customHeight="1">
      <c r="A292" s="38"/>
      <c r="B292" s="21"/>
      <c r="C292" s="21"/>
      <c r="D292" s="21"/>
      <c r="E292" s="21"/>
      <c r="F292" s="21"/>
      <c r="G292" s="21"/>
      <c r="H292" s="22"/>
      <c r="I292" s="22"/>
      <c r="J292" s="22"/>
      <c r="K292" s="22"/>
      <c r="L292" s="21"/>
      <c r="M292" s="21"/>
      <c r="N292" s="21"/>
    </row>
    <row r="293" spans="1:15" s="8" customFormat="1" ht="18" customHeight="1">
      <c r="A293" s="621" t="s">
        <v>1</v>
      </c>
      <c r="B293" s="617" t="s">
        <v>45</v>
      </c>
      <c r="C293" s="605" t="s">
        <v>397</v>
      </c>
      <c r="D293" s="627" t="s">
        <v>163</v>
      </c>
      <c r="E293" s="614" t="s">
        <v>164</v>
      </c>
      <c r="F293" s="617" t="s">
        <v>165</v>
      </c>
      <c r="G293" s="608" t="s">
        <v>338</v>
      </c>
      <c r="H293" s="611" t="s">
        <v>38</v>
      </c>
      <c r="I293" s="612"/>
      <c r="J293" s="612"/>
      <c r="K293" s="612"/>
      <c r="L293" s="612"/>
      <c r="M293" s="612"/>
      <c r="N293" s="613"/>
      <c r="O293" s="64"/>
    </row>
    <row r="294" spans="1:15" s="8" customFormat="1" ht="16.5" customHeight="1">
      <c r="A294" s="622"/>
      <c r="B294" s="617"/>
      <c r="C294" s="606"/>
      <c r="D294" s="628"/>
      <c r="E294" s="615"/>
      <c r="F294" s="617"/>
      <c r="G294" s="609"/>
      <c r="H294" s="614" t="s">
        <v>33</v>
      </c>
      <c r="I294" s="617" t="s">
        <v>4</v>
      </c>
      <c r="J294" s="617"/>
      <c r="K294" s="617"/>
      <c r="L294" s="617"/>
      <c r="M294" s="617"/>
      <c r="N294" s="617"/>
      <c r="O294" s="64"/>
    </row>
    <row r="295" spans="1:15" s="8" customFormat="1" ht="68.25" customHeight="1">
      <c r="A295" s="622"/>
      <c r="B295" s="617"/>
      <c r="C295" s="606"/>
      <c r="D295" s="628"/>
      <c r="E295" s="615"/>
      <c r="F295" s="617"/>
      <c r="G295" s="609"/>
      <c r="H295" s="615"/>
      <c r="I295" s="618" t="s">
        <v>398</v>
      </c>
      <c r="J295" s="603" t="s">
        <v>166</v>
      </c>
      <c r="K295" s="616" t="s">
        <v>34</v>
      </c>
      <c r="L295" s="615" t="s">
        <v>35</v>
      </c>
      <c r="M295" s="616" t="s">
        <v>50</v>
      </c>
      <c r="N295" s="616"/>
      <c r="O295" s="64"/>
    </row>
    <row r="296" spans="1:15" s="8" customFormat="1" ht="30.75" customHeight="1">
      <c r="A296" s="623"/>
      <c r="B296" s="617"/>
      <c r="C296" s="607"/>
      <c r="D296" s="629"/>
      <c r="E296" s="616"/>
      <c r="F296" s="617"/>
      <c r="G296" s="610"/>
      <c r="H296" s="616"/>
      <c r="I296" s="619"/>
      <c r="J296" s="604"/>
      <c r="K296" s="617"/>
      <c r="L296" s="616"/>
      <c r="M296" s="42" t="s">
        <v>36</v>
      </c>
      <c r="N296" s="42" t="s">
        <v>37</v>
      </c>
      <c r="O296" s="64"/>
    </row>
    <row r="297" spans="1:15" s="9" customFormat="1" ht="12">
      <c r="A297" s="24">
        <v>2</v>
      </c>
      <c r="B297" s="24">
        <v>3</v>
      </c>
      <c r="C297" s="24"/>
      <c r="D297" s="24">
        <v>4</v>
      </c>
      <c r="E297" s="24">
        <v>5</v>
      </c>
      <c r="F297" s="24">
        <v>6</v>
      </c>
      <c r="G297" s="24">
        <v>7</v>
      </c>
      <c r="H297" s="17">
        <v>8</v>
      </c>
      <c r="I297" s="17">
        <v>9</v>
      </c>
      <c r="J297" s="17">
        <v>10</v>
      </c>
      <c r="K297" s="17">
        <v>11</v>
      </c>
      <c r="L297" s="17">
        <v>12</v>
      </c>
      <c r="M297" s="17">
        <v>13</v>
      </c>
      <c r="N297" s="17">
        <v>14</v>
      </c>
      <c r="O297" s="65"/>
    </row>
    <row r="298" spans="1:14" s="107" customFormat="1" ht="12.75">
      <c r="A298" s="103" t="s">
        <v>43</v>
      </c>
      <c r="B298" s="104">
        <v>100</v>
      </c>
      <c r="C298" s="104"/>
      <c r="D298" s="104"/>
      <c r="E298" s="104"/>
      <c r="F298" s="104" t="s">
        <v>10</v>
      </c>
      <c r="G298" s="105"/>
      <c r="H298" s="106">
        <f>H300+H304+H341</f>
        <v>63859916.53</v>
      </c>
      <c r="I298" s="106">
        <f>I304</f>
        <v>49432260.64</v>
      </c>
      <c r="J298" s="106">
        <f>J341</f>
        <v>902129.53</v>
      </c>
      <c r="K298" s="106">
        <f>K342</f>
        <v>0</v>
      </c>
      <c r="L298" s="106">
        <f>L304</f>
        <v>0</v>
      </c>
      <c r="M298" s="106">
        <f>M300+M304+M340+M351</f>
        <v>13525526.36</v>
      </c>
      <c r="N298" s="106">
        <f>N304+N351</f>
        <v>0</v>
      </c>
    </row>
    <row r="299" spans="1:14" s="107" customFormat="1" ht="12.75">
      <c r="A299" s="108" t="s">
        <v>3</v>
      </c>
      <c r="B299" s="109"/>
      <c r="C299" s="109"/>
      <c r="D299" s="109"/>
      <c r="E299" s="109"/>
      <c r="F299" s="109"/>
      <c r="G299" s="110"/>
      <c r="H299" s="111"/>
      <c r="I299" s="111"/>
      <c r="J299" s="111"/>
      <c r="K299" s="112"/>
      <c r="L299" s="112"/>
      <c r="M299" s="113"/>
      <c r="N299" s="112"/>
    </row>
    <row r="300" spans="1:14" s="121" customFormat="1" ht="17.25" customHeight="1">
      <c r="A300" s="114" t="s">
        <v>32</v>
      </c>
      <c r="B300" s="115">
        <v>110</v>
      </c>
      <c r="C300" s="115">
        <v>120</v>
      </c>
      <c r="D300" s="116" t="s">
        <v>521</v>
      </c>
      <c r="E300" s="115"/>
      <c r="F300" s="115">
        <v>120</v>
      </c>
      <c r="G300" s="117" t="s">
        <v>363</v>
      </c>
      <c r="H300" s="118">
        <f>M300</f>
        <v>750526.36</v>
      </c>
      <c r="I300" s="115" t="s">
        <v>74</v>
      </c>
      <c r="J300" s="115" t="s">
        <v>74</v>
      </c>
      <c r="K300" s="119" t="s">
        <v>10</v>
      </c>
      <c r="L300" s="119" t="s">
        <v>10</v>
      </c>
      <c r="M300" s="120">
        <f>M302+M303</f>
        <v>750526.36</v>
      </c>
      <c r="N300" s="119" t="s">
        <v>10</v>
      </c>
    </row>
    <row r="301" spans="1:14" s="121" customFormat="1" ht="12.75">
      <c r="A301" s="114" t="s">
        <v>364</v>
      </c>
      <c r="B301" s="115"/>
      <c r="C301" s="115"/>
      <c r="D301" s="116"/>
      <c r="E301" s="115"/>
      <c r="F301" s="115"/>
      <c r="G301" s="122"/>
      <c r="H301" s="118"/>
      <c r="I301" s="122"/>
      <c r="J301" s="115"/>
      <c r="K301" s="119"/>
      <c r="L301" s="123"/>
      <c r="M301" s="118"/>
      <c r="N301" s="123"/>
    </row>
    <row r="302" spans="1:14" s="121" customFormat="1" ht="14.25" customHeight="1">
      <c r="A302" s="114" t="s">
        <v>365</v>
      </c>
      <c r="B302" s="115"/>
      <c r="C302" s="115">
        <v>121</v>
      </c>
      <c r="D302" s="116" t="s">
        <v>521</v>
      </c>
      <c r="E302" s="115"/>
      <c r="F302" s="115">
        <v>121</v>
      </c>
      <c r="G302" s="117" t="s">
        <v>363</v>
      </c>
      <c r="H302" s="118">
        <f>SUM(I302:M302)</f>
        <v>700526.36</v>
      </c>
      <c r="I302" s="122"/>
      <c r="J302" s="115"/>
      <c r="K302" s="119"/>
      <c r="L302" s="123"/>
      <c r="M302" s="118">
        <v>700526.36</v>
      </c>
      <c r="N302" s="123"/>
    </row>
    <row r="303" spans="1:14" s="121" customFormat="1" ht="21" customHeight="1">
      <c r="A303" s="114" t="s">
        <v>366</v>
      </c>
      <c r="B303" s="115"/>
      <c r="C303" s="115">
        <v>124</v>
      </c>
      <c r="D303" s="116" t="s">
        <v>521</v>
      </c>
      <c r="E303" s="115"/>
      <c r="F303" s="115">
        <v>124</v>
      </c>
      <c r="G303" s="117" t="s">
        <v>363</v>
      </c>
      <c r="H303" s="118">
        <f>SUM(I303:M303)</f>
        <v>50000</v>
      </c>
      <c r="I303" s="122"/>
      <c r="J303" s="115"/>
      <c r="K303" s="119"/>
      <c r="L303" s="123"/>
      <c r="M303" s="118">
        <v>50000</v>
      </c>
      <c r="N303" s="123"/>
    </row>
    <row r="304" spans="1:14" s="121" customFormat="1" ht="23.25" customHeight="1">
      <c r="A304" s="114" t="s">
        <v>367</v>
      </c>
      <c r="B304" s="115">
        <v>120</v>
      </c>
      <c r="C304" s="115">
        <v>130</v>
      </c>
      <c r="D304" s="116" t="s">
        <v>521</v>
      </c>
      <c r="E304" s="115"/>
      <c r="F304" s="115">
        <v>130</v>
      </c>
      <c r="G304" s="122"/>
      <c r="H304" s="118">
        <f>I304+L304+M304+N304</f>
        <v>62207260.64</v>
      </c>
      <c r="I304" s="118">
        <f>SUM(I305:I330)</f>
        <v>49432260.64</v>
      </c>
      <c r="J304" s="115" t="s">
        <v>74</v>
      </c>
      <c r="K304" s="115" t="s">
        <v>74</v>
      </c>
      <c r="L304" s="118">
        <f>L305+L307+L309+L312+L314+L316+L317+L318+L319+L320+L321+L322+L323+L324+L326+L328+L329+L330</f>
        <v>0</v>
      </c>
      <c r="M304" s="118">
        <f>M305+M307+M309+M312+M314+M316+M317+M318+M319+M320+M321+M322+M323+M324+M326+M328+M329+M330+M308+M331+M332</f>
        <v>12775000</v>
      </c>
      <c r="N304" s="118">
        <f>N305+N307+N309+N312+N314+N316+N317+N318+N319+N320+N321+N322+N323</f>
        <v>0</v>
      </c>
    </row>
    <row r="305" spans="1:14" s="107" customFormat="1" ht="27.75" customHeight="1">
      <c r="A305" s="124" t="s">
        <v>342</v>
      </c>
      <c r="B305" s="489"/>
      <c r="C305" s="489">
        <v>131</v>
      </c>
      <c r="D305" s="489">
        <v>800000000</v>
      </c>
      <c r="E305" s="489"/>
      <c r="F305" s="489">
        <v>131</v>
      </c>
      <c r="G305" s="490" t="s">
        <v>525</v>
      </c>
      <c r="H305" s="485">
        <f>I305+J305+K305+L305+M305</f>
        <v>10758335.66</v>
      </c>
      <c r="I305" s="486">
        <v>10758335.66</v>
      </c>
      <c r="J305" s="125">
        <v>0</v>
      </c>
      <c r="K305" s="112"/>
      <c r="L305" s="111"/>
      <c r="M305" s="125">
        <v>0</v>
      </c>
      <c r="N305" s="125"/>
    </row>
    <row r="306" spans="1:14" s="107" customFormat="1" ht="12" customHeight="1">
      <c r="A306" s="124" t="s">
        <v>356</v>
      </c>
      <c r="B306" s="489"/>
      <c r="C306" s="489">
        <v>131</v>
      </c>
      <c r="D306" s="489">
        <v>800000000</v>
      </c>
      <c r="E306" s="489"/>
      <c r="F306" s="489">
        <v>131</v>
      </c>
      <c r="G306" s="493" t="s">
        <v>524</v>
      </c>
      <c r="H306" s="485">
        <f>I306+J306+K306+L306+M306</f>
        <v>983705.2</v>
      </c>
      <c r="I306" s="486">
        <v>983705.2</v>
      </c>
      <c r="J306" s="125">
        <v>0</v>
      </c>
      <c r="K306" s="112"/>
      <c r="L306" s="111"/>
      <c r="M306" s="125">
        <v>0</v>
      </c>
      <c r="N306" s="125"/>
    </row>
    <row r="307" spans="1:14" s="107" customFormat="1" ht="12" customHeight="1">
      <c r="A307" s="114" t="s">
        <v>343</v>
      </c>
      <c r="B307" s="489"/>
      <c r="C307" s="489">
        <v>131</v>
      </c>
      <c r="D307" s="489">
        <v>800000000</v>
      </c>
      <c r="E307" s="489"/>
      <c r="F307" s="489">
        <v>131</v>
      </c>
      <c r="G307" s="493" t="s">
        <v>524</v>
      </c>
      <c r="H307" s="485">
        <f>I307+J307+K307+L307+M307</f>
        <v>1540928.86</v>
      </c>
      <c r="I307" s="486">
        <v>1540928.86</v>
      </c>
      <c r="J307" s="125">
        <v>0</v>
      </c>
      <c r="K307" s="112"/>
      <c r="L307" s="111"/>
      <c r="M307" s="125">
        <v>0</v>
      </c>
      <c r="N307" s="125"/>
    </row>
    <row r="308" spans="1:14" s="121" customFormat="1" ht="12" customHeight="1">
      <c r="A308" s="114" t="s">
        <v>343</v>
      </c>
      <c r="B308" s="115"/>
      <c r="C308" s="115">
        <v>131</v>
      </c>
      <c r="D308" s="116" t="s">
        <v>521</v>
      </c>
      <c r="E308" s="115"/>
      <c r="F308" s="115">
        <v>131</v>
      </c>
      <c r="G308" s="117" t="s">
        <v>363</v>
      </c>
      <c r="H308" s="118">
        <f aca="true" t="shared" si="18" ref="H308:H328">I308+J308+K308+L308+M308</f>
        <v>2710000</v>
      </c>
      <c r="I308" s="118">
        <v>0</v>
      </c>
      <c r="J308" s="118">
        <v>0</v>
      </c>
      <c r="K308" s="119"/>
      <c r="L308" s="123"/>
      <c r="M308" s="159">
        <v>2710000</v>
      </c>
      <c r="N308" s="118"/>
    </row>
    <row r="309" spans="1:14" s="107" customFormat="1" ht="26.25" customHeight="1">
      <c r="A309" s="108" t="s">
        <v>344</v>
      </c>
      <c r="B309" s="109"/>
      <c r="C309" s="109">
        <v>131</v>
      </c>
      <c r="D309" s="115">
        <v>800000000</v>
      </c>
      <c r="E309" s="109"/>
      <c r="F309" s="109">
        <v>131</v>
      </c>
      <c r="G309" s="102" t="s">
        <v>526</v>
      </c>
      <c r="H309" s="125">
        <f t="shared" si="18"/>
        <v>11457505.6</v>
      </c>
      <c r="I309" s="125">
        <f>292941+8670581.7+2493982.9</f>
        <v>11457505.6</v>
      </c>
      <c r="J309" s="125"/>
      <c r="K309" s="112"/>
      <c r="L309" s="111"/>
      <c r="M309" s="125"/>
      <c r="N309" s="125"/>
    </row>
    <row r="310" spans="1:14" s="107" customFormat="1" ht="26.25" customHeight="1">
      <c r="A310" s="108" t="s">
        <v>344</v>
      </c>
      <c r="B310" s="109"/>
      <c r="C310" s="109">
        <v>131</v>
      </c>
      <c r="D310" s="115">
        <v>800000000</v>
      </c>
      <c r="E310" s="109"/>
      <c r="F310" s="109">
        <v>131</v>
      </c>
      <c r="G310" s="102" t="s">
        <v>527</v>
      </c>
      <c r="H310" s="125">
        <f t="shared" si="18"/>
        <v>1712009.64</v>
      </c>
      <c r="I310" s="125">
        <f>1712009.64</f>
        <v>1712009.64</v>
      </c>
      <c r="J310" s="125"/>
      <c r="K310" s="112"/>
      <c r="L310" s="111"/>
      <c r="M310" s="125"/>
      <c r="N310" s="125"/>
    </row>
    <row r="311" spans="1:14" s="107" customFormat="1" ht="26.25" customHeight="1" hidden="1">
      <c r="A311" s="517" t="s">
        <v>344</v>
      </c>
      <c r="B311" s="501"/>
      <c r="C311" s="501">
        <v>131</v>
      </c>
      <c r="D311" s="489">
        <v>800000000</v>
      </c>
      <c r="E311" s="501"/>
      <c r="F311" s="501">
        <v>131</v>
      </c>
      <c r="G311" s="490" t="s">
        <v>526</v>
      </c>
      <c r="H311" s="485">
        <f t="shared" si="18"/>
        <v>0</v>
      </c>
      <c r="I311" s="486"/>
      <c r="J311" s="125"/>
      <c r="K311" s="112"/>
      <c r="L311" s="111"/>
      <c r="M311" s="125"/>
      <c r="N311" s="125"/>
    </row>
    <row r="312" spans="1:14" s="107" customFormat="1" ht="26.25" customHeight="1">
      <c r="A312" s="108" t="s">
        <v>345</v>
      </c>
      <c r="B312" s="109"/>
      <c r="C312" s="109">
        <v>131</v>
      </c>
      <c r="D312" s="115">
        <v>800000000</v>
      </c>
      <c r="E312" s="109"/>
      <c r="F312" s="109">
        <v>131</v>
      </c>
      <c r="G312" s="102" t="s">
        <v>526</v>
      </c>
      <c r="H312" s="125">
        <f t="shared" si="18"/>
        <v>11162689.2</v>
      </c>
      <c r="I312" s="125">
        <f>360180+10802509.2</f>
        <v>11162689.2</v>
      </c>
      <c r="J312" s="125"/>
      <c r="K312" s="112"/>
      <c r="L312" s="111"/>
      <c r="M312" s="125"/>
      <c r="N312" s="125"/>
    </row>
    <row r="313" spans="1:14" s="107" customFormat="1" ht="27.75" customHeight="1">
      <c r="A313" s="108" t="s">
        <v>345</v>
      </c>
      <c r="B313" s="109"/>
      <c r="C313" s="109">
        <v>131</v>
      </c>
      <c r="D313" s="115">
        <v>800000000</v>
      </c>
      <c r="E313" s="109"/>
      <c r="F313" s="109">
        <v>131</v>
      </c>
      <c r="G313" s="102" t="s">
        <v>527</v>
      </c>
      <c r="H313" s="125">
        <f t="shared" si="18"/>
        <v>1644933.36</v>
      </c>
      <c r="I313" s="125">
        <f>1644933.36</f>
        <v>1644933.36</v>
      </c>
      <c r="J313" s="125"/>
      <c r="K313" s="112"/>
      <c r="L313" s="111"/>
      <c r="M313" s="125"/>
      <c r="N313" s="125"/>
    </row>
    <row r="314" spans="1:14" s="107" customFormat="1" ht="26.25" customHeight="1">
      <c r="A314" s="108" t="s">
        <v>346</v>
      </c>
      <c r="B314" s="109"/>
      <c r="C314" s="109">
        <v>131</v>
      </c>
      <c r="D314" s="115">
        <v>800000000</v>
      </c>
      <c r="E314" s="109"/>
      <c r="F314" s="109">
        <v>131</v>
      </c>
      <c r="G314" s="102" t="s">
        <v>526</v>
      </c>
      <c r="H314" s="125">
        <f t="shared" si="18"/>
        <v>3986028.2</v>
      </c>
      <c r="I314" s="125">
        <f>122248+3863780.2</f>
        <v>3986028.2</v>
      </c>
      <c r="J314" s="125"/>
      <c r="K314" s="112"/>
      <c r="L314" s="111"/>
      <c r="M314" s="125"/>
      <c r="N314" s="125"/>
    </row>
    <row r="315" spans="1:14" s="107" customFormat="1" ht="26.25" customHeight="1">
      <c r="A315" s="108" t="s">
        <v>346</v>
      </c>
      <c r="B315" s="109"/>
      <c r="C315" s="109">
        <v>131</v>
      </c>
      <c r="D315" s="115">
        <v>800000000</v>
      </c>
      <c r="E315" s="109"/>
      <c r="F315" s="109">
        <v>131</v>
      </c>
      <c r="G315" s="102" t="s">
        <v>527</v>
      </c>
      <c r="H315" s="125">
        <f t="shared" si="18"/>
        <v>1031767.92</v>
      </c>
      <c r="I315" s="125">
        <f>555423.64+476344.28</f>
        <v>1031767.92</v>
      </c>
      <c r="J315" s="125"/>
      <c r="K315" s="112"/>
      <c r="L315" s="111"/>
      <c r="M315" s="125"/>
      <c r="N315" s="125"/>
    </row>
    <row r="316" spans="1:14" s="107" customFormat="1" ht="12" customHeight="1" hidden="1">
      <c r="A316" s="108" t="s">
        <v>347</v>
      </c>
      <c r="B316" s="501"/>
      <c r="C316" s="501">
        <v>131</v>
      </c>
      <c r="D316" s="489">
        <v>800000000</v>
      </c>
      <c r="E316" s="501"/>
      <c r="F316" s="501">
        <v>131</v>
      </c>
      <c r="G316" s="493" t="s">
        <v>527</v>
      </c>
      <c r="H316" s="485">
        <f t="shared" si="18"/>
        <v>0</v>
      </c>
      <c r="I316" s="486"/>
      <c r="J316" s="125"/>
      <c r="K316" s="112"/>
      <c r="L316" s="111"/>
      <c r="M316" s="125"/>
      <c r="N316" s="125"/>
    </row>
    <row r="317" spans="1:14" s="107" customFormat="1" ht="27.75" customHeight="1">
      <c r="A317" s="126" t="s">
        <v>517</v>
      </c>
      <c r="B317" s="109"/>
      <c r="C317" s="109">
        <v>131</v>
      </c>
      <c r="D317" s="115">
        <v>800000000</v>
      </c>
      <c r="E317" s="109"/>
      <c r="F317" s="109">
        <v>131</v>
      </c>
      <c r="G317" s="110"/>
      <c r="H317" s="125">
        <f t="shared" si="18"/>
        <v>0</v>
      </c>
      <c r="I317" s="125">
        <v>0</v>
      </c>
      <c r="J317" s="125"/>
      <c r="K317" s="112"/>
      <c r="L317" s="111"/>
      <c r="M317" s="125"/>
      <c r="N317" s="125"/>
    </row>
    <row r="318" spans="1:14" s="107" customFormat="1" ht="44.25" customHeight="1">
      <c r="A318" s="108" t="s">
        <v>348</v>
      </c>
      <c r="B318" s="109"/>
      <c r="C318" s="109">
        <v>131</v>
      </c>
      <c r="D318" s="115">
        <v>800000000</v>
      </c>
      <c r="E318" s="109"/>
      <c r="F318" s="109">
        <v>131</v>
      </c>
      <c r="G318" s="110"/>
      <c r="H318" s="125">
        <f t="shared" si="18"/>
        <v>0</v>
      </c>
      <c r="I318" s="125">
        <v>0</v>
      </c>
      <c r="J318" s="125"/>
      <c r="K318" s="112"/>
      <c r="L318" s="111"/>
      <c r="M318" s="125"/>
      <c r="N318" s="125"/>
    </row>
    <row r="319" spans="1:14" s="107" customFormat="1" ht="22.5" customHeight="1">
      <c r="A319" s="114" t="s">
        <v>349</v>
      </c>
      <c r="B319" s="115"/>
      <c r="C319" s="115">
        <v>131</v>
      </c>
      <c r="D319" s="115">
        <v>800000000</v>
      </c>
      <c r="E319" s="115"/>
      <c r="F319" s="115">
        <v>131</v>
      </c>
      <c r="G319" s="122"/>
      <c r="H319" s="118">
        <f t="shared" si="18"/>
        <v>0</v>
      </c>
      <c r="I319" s="125">
        <v>0</v>
      </c>
      <c r="J319" s="125"/>
      <c r="K319" s="112"/>
      <c r="L319" s="111"/>
      <c r="M319" s="125"/>
      <c r="N319" s="125"/>
    </row>
    <row r="320" spans="1:14" s="107" customFormat="1" ht="31.5" customHeight="1">
      <c r="A320" s="127" t="s">
        <v>350</v>
      </c>
      <c r="B320" s="115"/>
      <c r="C320" s="115">
        <v>131</v>
      </c>
      <c r="D320" s="115">
        <v>800000000</v>
      </c>
      <c r="E320" s="115"/>
      <c r="F320" s="115">
        <v>131</v>
      </c>
      <c r="G320" s="122"/>
      <c r="H320" s="118">
        <f t="shared" si="18"/>
        <v>0</v>
      </c>
      <c r="I320" s="125">
        <v>0</v>
      </c>
      <c r="J320" s="125"/>
      <c r="K320" s="112"/>
      <c r="L320" s="111"/>
      <c r="M320" s="125"/>
      <c r="N320" s="125"/>
    </row>
    <row r="321" spans="1:14" s="107" customFormat="1" ht="43.5" customHeight="1">
      <c r="A321" s="114" t="s">
        <v>351</v>
      </c>
      <c r="B321" s="115"/>
      <c r="C321" s="115">
        <v>131</v>
      </c>
      <c r="D321" s="115">
        <v>800000000</v>
      </c>
      <c r="E321" s="115"/>
      <c r="F321" s="115">
        <v>131</v>
      </c>
      <c r="G321" s="122"/>
      <c r="H321" s="118">
        <f t="shared" si="18"/>
        <v>0</v>
      </c>
      <c r="I321" s="125">
        <v>0</v>
      </c>
      <c r="J321" s="125"/>
      <c r="K321" s="112"/>
      <c r="L321" s="111"/>
      <c r="M321" s="125"/>
      <c r="N321" s="125"/>
    </row>
    <row r="322" spans="1:14" s="107" customFormat="1" ht="33" customHeight="1">
      <c r="A322" s="114" t="s">
        <v>352</v>
      </c>
      <c r="B322" s="115"/>
      <c r="C322" s="115">
        <v>131</v>
      </c>
      <c r="D322" s="115">
        <v>800000000</v>
      </c>
      <c r="E322" s="115"/>
      <c r="F322" s="115">
        <v>131</v>
      </c>
      <c r="G322" s="122"/>
      <c r="H322" s="118">
        <f t="shared" si="18"/>
        <v>0</v>
      </c>
      <c r="I322" s="125">
        <v>0</v>
      </c>
      <c r="J322" s="125"/>
      <c r="K322" s="112"/>
      <c r="L322" s="111"/>
      <c r="M322" s="125"/>
      <c r="N322" s="125"/>
    </row>
    <row r="323" spans="1:14" s="107" customFormat="1" ht="25.5" customHeight="1">
      <c r="A323" s="114" t="s">
        <v>353</v>
      </c>
      <c r="B323" s="115"/>
      <c r="C323" s="115">
        <v>131</v>
      </c>
      <c r="D323" s="115">
        <v>800000000</v>
      </c>
      <c r="E323" s="115"/>
      <c r="F323" s="115">
        <v>131</v>
      </c>
      <c r="G323" s="122"/>
      <c r="H323" s="118">
        <f t="shared" si="18"/>
        <v>0</v>
      </c>
      <c r="I323" s="125">
        <v>0</v>
      </c>
      <c r="J323" s="125"/>
      <c r="K323" s="112"/>
      <c r="L323" s="111"/>
      <c r="M323" s="125"/>
      <c r="N323" s="125"/>
    </row>
    <row r="324" spans="1:14" s="107" customFormat="1" ht="25.5">
      <c r="A324" s="114" t="s">
        <v>51</v>
      </c>
      <c r="B324" s="115"/>
      <c r="C324" s="115">
        <v>131</v>
      </c>
      <c r="D324" s="115">
        <v>800000000</v>
      </c>
      <c r="E324" s="115"/>
      <c r="F324" s="115">
        <v>131</v>
      </c>
      <c r="G324" s="102" t="s">
        <v>527</v>
      </c>
      <c r="H324" s="118">
        <f t="shared" si="18"/>
        <v>1112470</v>
      </c>
      <c r="I324" s="125">
        <f>805176+307294</f>
        <v>1112470</v>
      </c>
      <c r="J324" s="125"/>
      <c r="K324" s="112"/>
      <c r="L324" s="111"/>
      <c r="M324" s="125"/>
      <c r="N324" s="125"/>
    </row>
    <row r="325" spans="1:14" s="107" customFormat="1" ht="25.5" hidden="1">
      <c r="A325" s="114" t="s">
        <v>51</v>
      </c>
      <c r="B325" s="487"/>
      <c r="C325" s="487">
        <v>131</v>
      </c>
      <c r="D325" s="489">
        <v>800000000</v>
      </c>
      <c r="E325" s="487"/>
      <c r="F325" s="487">
        <v>131</v>
      </c>
      <c r="G325" s="494" t="s">
        <v>527</v>
      </c>
      <c r="H325" s="491">
        <f t="shared" si="18"/>
        <v>0</v>
      </c>
      <c r="I325" s="486"/>
      <c r="J325" s="125"/>
      <c r="K325" s="112"/>
      <c r="L325" s="111"/>
      <c r="M325" s="125"/>
      <c r="N325" s="125"/>
    </row>
    <row r="326" spans="1:14" s="107" customFormat="1" ht="12.75">
      <c r="A326" s="114" t="s">
        <v>52</v>
      </c>
      <c r="B326" s="115"/>
      <c r="C326" s="115">
        <v>131</v>
      </c>
      <c r="D326" s="115">
        <v>800000000</v>
      </c>
      <c r="E326" s="115"/>
      <c r="F326" s="115">
        <v>131</v>
      </c>
      <c r="G326" s="102" t="s">
        <v>527</v>
      </c>
      <c r="H326" s="118">
        <f t="shared" si="18"/>
        <v>4041887</v>
      </c>
      <c r="I326" s="125">
        <f>2959713+1082174</f>
        <v>4041887</v>
      </c>
      <c r="J326" s="125"/>
      <c r="K326" s="112"/>
      <c r="L326" s="111"/>
      <c r="M326" s="125"/>
      <c r="N326" s="125"/>
    </row>
    <row r="327" spans="1:14" s="107" customFormat="1" ht="15" hidden="1">
      <c r="A327" s="114" t="s">
        <v>52</v>
      </c>
      <c r="B327" s="487"/>
      <c r="C327" s="487">
        <v>131</v>
      </c>
      <c r="D327" s="489">
        <v>800000000</v>
      </c>
      <c r="E327" s="487"/>
      <c r="F327" s="487">
        <v>131</v>
      </c>
      <c r="G327" s="494" t="s">
        <v>527</v>
      </c>
      <c r="H327" s="491">
        <f t="shared" si="18"/>
        <v>0</v>
      </c>
      <c r="I327" s="486"/>
      <c r="J327" s="125"/>
      <c r="K327" s="112"/>
      <c r="L327" s="111"/>
      <c r="M327" s="125"/>
      <c r="N327" s="125"/>
    </row>
    <row r="328" spans="1:14" s="128" customFormat="1" ht="12.75">
      <c r="A328" s="114" t="s">
        <v>46</v>
      </c>
      <c r="B328" s="115"/>
      <c r="C328" s="115">
        <v>131</v>
      </c>
      <c r="D328" s="116" t="s">
        <v>521</v>
      </c>
      <c r="E328" s="115"/>
      <c r="F328" s="115">
        <v>131</v>
      </c>
      <c r="G328" s="117" t="s">
        <v>363</v>
      </c>
      <c r="H328" s="118">
        <f t="shared" si="18"/>
        <v>7808000</v>
      </c>
      <c r="I328" s="118"/>
      <c r="J328" s="118"/>
      <c r="K328" s="119"/>
      <c r="L328" s="123"/>
      <c r="M328" s="118">
        <f>5665000+2143000</f>
        <v>7808000</v>
      </c>
      <c r="N328" s="118"/>
    </row>
    <row r="329" spans="1:14" s="128" customFormat="1" ht="12.75">
      <c r="A329" s="114" t="s">
        <v>48</v>
      </c>
      <c r="B329" s="115"/>
      <c r="C329" s="115">
        <v>131</v>
      </c>
      <c r="D329" s="116" t="s">
        <v>521</v>
      </c>
      <c r="E329" s="115"/>
      <c r="F329" s="115">
        <v>131</v>
      </c>
      <c r="G329" s="117" t="s">
        <v>363</v>
      </c>
      <c r="H329" s="118">
        <f>I329+J329+K329+L329+M329</f>
        <v>1890000</v>
      </c>
      <c r="I329" s="118"/>
      <c r="J329" s="118"/>
      <c r="K329" s="119"/>
      <c r="L329" s="123"/>
      <c r="M329" s="159">
        <v>1890000</v>
      </c>
      <c r="N329" s="118"/>
    </row>
    <row r="330" spans="1:14" s="128" customFormat="1" ht="15.75" customHeight="1">
      <c r="A330" s="114" t="s">
        <v>368</v>
      </c>
      <c r="B330" s="115"/>
      <c r="C330" s="115">
        <v>134</v>
      </c>
      <c r="D330" s="116" t="s">
        <v>521</v>
      </c>
      <c r="E330" s="115"/>
      <c r="F330" s="115">
        <v>134</v>
      </c>
      <c r="G330" s="117" t="s">
        <v>363</v>
      </c>
      <c r="H330" s="118">
        <f>I330+J330+K330+L330+M330</f>
        <v>0</v>
      </c>
      <c r="I330" s="118"/>
      <c r="J330" s="118"/>
      <c r="K330" s="119"/>
      <c r="L330" s="123"/>
      <c r="M330" s="118"/>
      <c r="N330" s="118"/>
    </row>
    <row r="331" spans="1:14" s="128" customFormat="1" ht="21" customHeight="1">
      <c r="A331" s="114" t="s">
        <v>47</v>
      </c>
      <c r="B331" s="115"/>
      <c r="C331" s="115">
        <v>135</v>
      </c>
      <c r="D331" s="116" t="s">
        <v>521</v>
      </c>
      <c r="E331" s="115"/>
      <c r="F331" s="115">
        <v>135</v>
      </c>
      <c r="G331" s="117" t="s">
        <v>363</v>
      </c>
      <c r="H331" s="118">
        <f>I331+J331+K331+L331+M331</f>
        <v>367000</v>
      </c>
      <c r="I331" s="118"/>
      <c r="J331" s="118"/>
      <c r="K331" s="119"/>
      <c r="L331" s="123"/>
      <c r="M331" s="118">
        <f>360000+7000</f>
        <v>367000</v>
      </c>
      <c r="N331" s="118"/>
    </row>
    <row r="332" spans="1:14" s="128" customFormat="1" ht="21" customHeight="1" hidden="1">
      <c r="A332" s="114" t="s">
        <v>47</v>
      </c>
      <c r="B332" s="487"/>
      <c r="C332" s="489">
        <v>135</v>
      </c>
      <c r="D332" s="488" t="s">
        <v>521</v>
      </c>
      <c r="E332" s="489"/>
      <c r="F332" s="489">
        <v>135</v>
      </c>
      <c r="G332" s="492" t="s">
        <v>363</v>
      </c>
      <c r="H332" s="491">
        <f>I332+J332+K332+L332+M332</f>
        <v>0</v>
      </c>
      <c r="I332" s="491">
        <v>0</v>
      </c>
      <c r="J332" s="491">
        <v>0</v>
      </c>
      <c r="K332" s="507">
        <v>0</v>
      </c>
      <c r="L332" s="508">
        <v>0</v>
      </c>
      <c r="M332" s="495"/>
      <c r="N332" s="118"/>
    </row>
    <row r="333" spans="1:14" s="134" customFormat="1" ht="21.75" customHeight="1">
      <c r="A333" s="129" t="s">
        <v>432</v>
      </c>
      <c r="B333" s="130">
        <v>130</v>
      </c>
      <c r="C333" s="130">
        <v>140</v>
      </c>
      <c r="D333" s="116" t="s">
        <v>521</v>
      </c>
      <c r="E333" s="130"/>
      <c r="F333" s="130">
        <v>140</v>
      </c>
      <c r="G333" s="131" t="s">
        <v>363</v>
      </c>
      <c r="H333" s="132">
        <f>M333</f>
        <v>0</v>
      </c>
      <c r="I333" s="130" t="s">
        <v>74</v>
      </c>
      <c r="J333" s="130" t="s">
        <v>74</v>
      </c>
      <c r="K333" s="130" t="s">
        <v>74</v>
      </c>
      <c r="L333" s="130" t="s">
        <v>74</v>
      </c>
      <c r="M333" s="133">
        <f>M335+M336+M337+M338+M339</f>
        <v>0</v>
      </c>
      <c r="N333" s="130" t="s">
        <v>74</v>
      </c>
    </row>
    <row r="334" spans="1:14" s="128" customFormat="1" ht="12.75">
      <c r="A334" s="114" t="s">
        <v>364</v>
      </c>
      <c r="B334" s="115"/>
      <c r="C334" s="115"/>
      <c r="D334" s="116"/>
      <c r="E334" s="115"/>
      <c r="F334" s="115"/>
      <c r="G334" s="122"/>
      <c r="H334" s="118"/>
      <c r="I334" s="122"/>
      <c r="J334" s="115"/>
      <c r="K334" s="119"/>
      <c r="L334" s="123"/>
      <c r="M334" s="118"/>
      <c r="N334" s="123"/>
    </row>
    <row r="335" spans="1:14" s="128" customFormat="1" ht="38.25">
      <c r="A335" s="114" t="s">
        <v>369</v>
      </c>
      <c r="B335" s="115"/>
      <c r="C335" s="115">
        <v>141</v>
      </c>
      <c r="D335" s="116" t="s">
        <v>521</v>
      </c>
      <c r="E335" s="115"/>
      <c r="F335" s="115">
        <v>141</v>
      </c>
      <c r="G335" s="117" t="s">
        <v>363</v>
      </c>
      <c r="H335" s="118">
        <f>I335+J335+K335+L335+M335</f>
        <v>0</v>
      </c>
      <c r="I335" s="122"/>
      <c r="J335" s="115"/>
      <c r="K335" s="119"/>
      <c r="L335" s="123"/>
      <c r="M335" s="118"/>
      <c r="N335" s="123"/>
    </row>
    <row r="336" spans="1:14" s="128" customFormat="1" ht="25.5">
      <c r="A336" s="114" t="s">
        <v>370</v>
      </c>
      <c r="B336" s="115"/>
      <c r="C336" s="115">
        <v>142</v>
      </c>
      <c r="D336" s="116" t="s">
        <v>521</v>
      </c>
      <c r="E336" s="115"/>
      <c r="F336" s="115">
        <v>142</v>
      </c>
      <c r="G336" s="117" t="s">
        <v>363</v>
      </c>
      <c r="H336" s="118">
        <f>I336+J336+K336+L336+M336</f>
        <v>0</v>
      </c>
      <c r="I336" s="122"/>
      <c r="J336" s="115"/>
      <c r="K336" s="119"/>
      <c r="L336" s="123"/>
      <c r="M336" s="118"/>
      <c r="N336" s="123"/>
    </row>
    <row r="337" spans="1:14" s="128" customFormat="1" ht="15" customHeight="1">
      <c r="A337" s="114" t="s">
        <v>371</v>
      </c>
      <c r="B337" s="115"/>
      <c r="C337" s="115">
        <v>143</v>
      </c>
      <c r="D337" s="116" t="s">
        <v>521</v>
      </c>
      <c r="E337" s="115"/>
      <c r="F337" s="115">
        <v>143</v>
      </c>
      <c r="G337" s="117" t="s">
        <v>363</v>
      </c>
      <c r="H337" s="118">
        <f>I337+J337+K337+L337+M337</f>
        <v>0</v>
      </c>
      <c r="I337" s="122"/>
      <c r="J337" s="115"/>
      <c r="K337" s="119"/>
      <c r="L337" s="123"/>
      <c r="M337" s="118"/>
      <c r="N337" s="123"/>
    </row>
    <row r="338" spans="1:14" s="128" customFormat="1" ht="15" customHeight="1">
      <c r="A338" s="114" t="s">
        <v>372</v>
      </c>
      <c r="B338" s="115"/>
      <c r="C338" s="115">
        <v>144</v>
      </c>
      <c r="D338" s="116" t="s">
        <v>521</v>
      </c>
      <c r="E338" s="115"/>
      <c r="F338" s="115">
        <v>144</v>
      </c>
      <c r="G338" s="117" t="s">
        <v>363</v>
      </c>
      <c r="H338" s="118">
        <f>I338+J338+K338+L338+M338</f>
        <v>0</v>
      </c>
      <c r="I338" s="122"/>
      <c r="J338" s="115"/>
      <c r="K338" s="119"/>
      <c r="L338" s="123"/>
      <c r="M338" s="118"/>
      <c r="N338" s="123"/>
    </row>
    <row r="339" spans="1:14" s="128" customFormat="1" ht="15" customHeight="1">
      <c r="A339" s="114" t="s">
        <v>373</v>
      </c>
      <c r="B339" s="115"/>
      <c r="C339" s="115">
        <v>145</v>
      </c>
      <c r="D339" s="116" t="s">
        <v>521</v>
      </c>
      <c r="E339" s="115"/>
      <c r="F339" s="115">
        <v>145</v>
      </c>
      <c r="G339" s="117" t="s">
        <v>363</v>
      </c>
      <c r="H339" s="118">
        <f>I339+J339+K339+L339+M339</f>
        <v>0</v>
      </c>
      <c r="I339" s="122"/>
      <c r="J339" s="115"/>
      <c r="K339" s="119"/>
      <c r="L339" s="123"/>
      <c r="M339" s="118"/>
      <c r="N339" s="123"/>
    </row>
    <row r="340" spans="1:14" s="107" customFormat="1" ht="40.5" customHeight="1">
      <c r="A340" s="114" t="s">
        <v>49</v>
      </c>
      <c r="B340" s="115">
        <v>140</v>
      </c>
      <c r="C340" s="115"/>
      <c r="D340" s="116" t="s">
        <v>521</v>
      </c>
      <c r="E340" s="115"/>
      <c r="F340" s="115"/>
      <c r="G340" s="122"/>
      <c r="H340" s="118">
        <f>M340</f>
        <v>0</v>
      </c>
      <c r="I340" s="109" t="s">
        <v>74</v>
      </c>
      <c r="J340" s="109" t="s">
        <v>74</v>
      </c>
      <c r="K340" s="109" t="s">
        <v>74</v>
      </c>
      <c r="L340" s="109" t="s">
        <v>74</v>
      </c>
      <c r="M340" s="109"/>
      <c r="N340" s="109" t="s">
        <v>74</v>
      </c>
    </row>
    <row r="341" spans="1:14" s="107" customFormat="1" ht="27.75" customHeight="1">
      <c r="A341" s="114" t="s">
        <v>167</v>
      </c>
      <c r="B341" s="489">
        <v>150</v>
      </c>
      <c r="C341" s="489">
        <v>150</v>
      </c>
      <c r="D341" s="489">
        <v>901000000</v>
      </c>
      <c r="E341" s="489"/>
      <c r="F341" s="489">
        <v>150</v>
      </c>
      <c r="G341" s="500"/>
      <c r="H341" s="491">
        <f aca="true" t="shared" si="19" ref="H341:H349">J341+K341</f>
        <v>902129.53</v>
      </c>
      <c r="I341" s="501" t="s">
        <v>74</v>
      </c>
      <c r="J341" s="516">
        <f>SUM(J342:J349)</f>
        <v>902129.53</v>
      </c>
      <c r="K341" s="109">
        <f>K342</f>
        <v>0</v>
      </c>
      <c r="L341" s="109" t="s">
        <v>74</v>
      </c>
      <c r="M341" s="109" t="s">
        <v>74</v>
      </c>
      <c r="N341" s="109" t="s">
        <v>74</v>
      </c>
    </row>
    <row r="342" spans="1:14" s="107" customFormat="1" ht="21.75" customHeight="1">
      <c r="A342" s="114" t="s">
        <v>830</v>
      </c>
      <c r="B342" s="489"/>
      <c r="C342" s="489">
        <v>152</v>
      </c>
      <c r="D342" s="489">
        <v>901480000</v>
      </c>
      <c r="E342" s="489"/>
      <c r="F342" s="489">
        <v>152</v>
      </c>
      <c r="G342" s="500" t="s">
        <v>526</v>
      </c>
      <c r="H342" s="491">
        <f t="shared" si="19"/>
        <v>364383</v>
      </c>
      <c r="I342" s="501">
        <v>0</v>
      </c>
      <c r="J342" s="486">
        <v>364383</v>
      </c>
      <c r="K342" s="112"/>
      <c r="L342" s="109" t="s">
        <v>74</v>
      </c>
      <c r="M342" s="109" t="s">
        <v>74</v>
      </c>
      <c r="N342" s="109" t="s">
        <v>74</v>
      </c>
    </row>
    <row r="343" spans="1:14" s="107" customFormat="1" ht="21.75" customHeight="1">
      <c r="A343" s="114" t="s">
        <v>236</v>
      </c>
      <c r="B343" s="489"/>
      <c r="C343" s="489">
        <v>152</v>
      </c>
      <c r="D343" s="489">
        <v>901160000</v>
      </c>
      <c r="E343" s="489"/>
      <c r="F343" s="489">
        <v>152</v>
      </c>
      <c r="G343" s="500" t="s">
        <v>526</v>
      </c>
      <c r="H343" s="491">
        <f t="shared" si="19"/>
        <v>127246</v>
      </c>
      <c r="I343" s="501">
        <v>0</v>
      </c>
      <c r="J343" s="486">
        <v>127246</v>
      </c>
      <c r="K343" s="112"/>
      <c r="L343" s="109" t="s">
        <v>74</v>
      </c>
      <c r="M343" s="109" t="s">
        <v>74</v>
      </c>
      <c r="N343" s="109" t="s">
        <v>74</v>
      </c>
    </row>
    <row r="344" spans="1:14" s="107" customFormat="1" ht="21.75" customHeight="1">
      <c r="A344" s="114" t="s">
        <v>831</v>
      </c>
      <c r="B344" s="489"/>
      <c r="C344" s="489">
        <v>152</v>
      </c>
      <c r="D344" s="489">
        <v>901830000</v>
      </c>
      <c r="E344" s="489"/>
      <c r="F344" s="489">
        <v>152</v>
      </c>
      <c r="G344" s="500" t="s">
        <v>526</v>
      </c>
      <c r="H344" s="491">
        <f t="shared" si="19"/>
        <v>66594.53</v>
      </c>
      <c r="I344" s="501">
        <v>0</v>
      </c>
      <c r="J344" s="486">
        <v>66594.53</v>
      </c>
      <c r="K344" s="112"/>
      <c r="L344" s="109"/>
      <c r="M344" s="109"/>
      <c r="N344" s="109"/>
    </row>
    <row r="345" spans="1:14" s="107" customFormat="1" ht="21.75" customHeight="1">
      <c r="A345" s="114" t="s">
        <v>833</v>
      </c>
      <c r="B345" s="489"/>
      <c r="C345" s="489">
        <v>152</v>
      </c>
      <c r="D345" s="489">
        <v>901140000</v>
      </c>
      <c r="E345" s="489"/>
      <c r="F345" s="489">
        <v>152</v>
      </c>
      <c r="G345" s="500" t="s">
        <v>526</v>
      </c>
      <c r="H345" s="491">
        <f t="shared" si="19"/>
        <v>56596</v>
      </c>
      <c r="I345" s="501">
        <v>0</v>
      </c>
      <c r="J345" s="486">
        <v>56596</v>
      </c>
      <c r="K345" s="112"/>
      <c r="L345" s="109"/>
      <c r="M345" s="109"/>
      <c r="N345" s="109"/>
    </row>
    <row r="346" spans="1:14" s="107" customFormat="1" ht="21.75" customHeight="1">
      <c r="A346" s="114" t="s">
        <v>834</v>
      </c>
      <c r="B346" s="489"/>
      <c r="C346" s="489">
        <v>152</v>
      </c>
      <c r="D346" s="489">
        <v>901140000</v>
      </c>
      <c r="E346" s="489"/>
      <c r="F346" s="489">
        <v>152</v>
      </c>
      <c r="G346" s="500" t="s">
        <v>526</v>
      </c>
      <c r="H346" s="491">
        <f t="shared" si="19"/>
        <v>13862</v>
      </c>
      <c r="I346" s="501">
        <v>0</v>
      </c>
      <c r="J346" s="486">
        <v>13862</v>
      </c>
      <c r="K346" s="112"/>
      <c r="L346" s="109" t="s">
        <v>74</v>
      </c>
      <c r="M346" s="109" t="s">
        <v>74</v>
      </c>
      <c r="N346" s="109" t="s">
        <v>74</v>
      </c>
    </row>
    <row r="347" spans="1:14" s="107" customFormat="1" ht="21.75" customHeight="1">
      <c r="A347" s="114" t="s">
        <v>835</v>
      </c>
      <c r="B347" s="489"/>
      <c r="C347" s="489">
        <v>152</v>
      </c>
      <c r="D347" s="489">
        <v>901150000</v>
      </c>
      <c r="E347" s="489"/>
      <c r="F347" s="489">
        <v>152</v>
      </c>
      <c r="G347" s="500" t="s">
        <v>526</v>
      </c>
      <c r="H347" s="491">
        <f t="shared" si="19"/>
        <v>67915</v>
      </c>
      <c r="I347" s="501">
        <v>0</v>
      </c>
      <c r="J347" s="486">
        <v>67915</v>
      </c>
      <c r="K347" s="112"/>
      <c r="L347" s="109" t="s">
        <v>74</v>
      </c>
      <c r="M347" s="109" t="s">
        <v>74</v>
      </c>
      <c r="N347" s="109" t="s">
        <v>74</v>
      </c>
    </row>
    <row r="348" spans="1:14" s="107" customFormat="1" ht="21.75" customHeight="1">
      <c r="A348" s="114" t="s">
        <v>241</v>
      </c>
      <c r="B348" s="489"/>
      <c r="C348" s="489">
        <v>152</v>
      </c>
      <c r="D348" s="502">
        <v>901210000</v>
      </c>
      <c r="E348" s="489"/>
      <c r="F348" s="489">
        <v>152</v>
      </c>
      <c r="G348" s="492" t="s">
        <v>528</v>
      </c>
      <c r="H348" s="491">
        <f t="shared" si="19"/>
        <v>105533</v>
      </c>
      <c r="I348" s="501">
        <v>0</v>
      </c>
      <c r="J348" s="486">
        <v>105533</v>
      </c>
      <c r="K348" s="112"/>
      <c r="L348" s="109" t="s">
        <v>74</v>
      </c>
      <c r="M348" s="109" t="s">
        <v>74</v>
      </c>
      <c r="N348" s="109" t="s">
        <v>74</v>
      </c>
    </row>
    <row r="349" spans="1:14" s="107" customFormat="1" ht="21.75" customHeight="1">
      <c r="A349" s="114" t="s">
        <v>836</v>
      </c>
      <c r="B349" s="489"/>
      <c r="C349" s="489">
        <v>152</v>
      </c>
      <c r="D349" s="489">
        <v>901480000</v>
      </c>
      <c r="E349" s="489"/>
      <c r="F349" s="489">
        <v>152</v>
      </c>
      <c r="G349" s="500" t="s">
        <v>526</v>
      </c>
      <c r="H349" s="491">
        <f t="shared" si="19"/>
        <v>100000</v>
      </c>
      <c r="I349" s="501">
        <v>0</v>
      </c>
      <c r="J349" s="486">
        <v>100000</v>
      </c>
      <c r="K349" s="112"/>
      <c r="L349" s="109" t="s">
        <v>74</v>
      </c>
      <c r="M349" s="109" t="s">
        <v>74</v>
      </c>
      <c r="N349" s="109" t="s">
        <v>74</v>
      </c>
    </row>
    <row r="350" spans="1:14" s="107" customFormat="1" ht="21.75" customHeight="1">
      <c r="A350" s="114" t="s">
        <v>167</v>
      </c>
      <c r="B350" s="115">
        <v>150</v>
      </c>
      <c r="C350" s="115">
        <v>152</v>
      </c>
      <c r="D350" s="115">
        <v>901750000</v>
      </c>
      <c r="E350" s="115"/>
      <c r="F350" s="115">
        <v>152</v>
      </c>
      <c r="G350" s="122" t="s">
        <v>534</v>
      </c>
      <c r="H350" s="118">
        <f>J350+K350</f>
        <v>0</v>
      </c>
      <c r="I350" s="109"/>
      <c r="J350" s="125">
        <v>0</v>
      </c>
      <c r="K350" s="112"/>
      <c r="L350" s="109"/>
      <c r="M350" s="110"/>
      <c r="N350" s="110"/>
    </row>
    <row r="351" spans="1:14" s="128" customFormat="1" ht="21.75" customHeight="1">
      <c r="A351" s="114" t="s">
        <v>210</v>
      </c>
      <c r="B351" s="115">
        <v>160</v>
      </c>
      <c r="C351" s="115">
        <v>180</v>
      </c>
      <c r="D351" s="116" t="s">
        <v>521</v>
      </c>
      <c r="E351" s="115"/>
      <c r="F351" s="115">
        <v>180</v>
      </c>
      <c r="G351" s="117" t="s">
        <v>363</v>
      </c>
      <c r="H351" s="118">
        <f aca="true" t="shared" si="20" ref="H351:H357">M351</f>
        <v>0</v>
      </c>
      <c r="I351" s="115" t="s">
        <v>74</v>
      </c>
      <c r="J351" s="115" t="s">
        <v>74</v>
      </c>
      <c r="K351" s="115" t="s">
        <v>74</v>
      </c>
      <c r="L351" s="115" t="s">
        <v>74</v>
      </c>
      <c r="M351" s="118">
        <f>M352+M353</f>
        <v>0</v>
      </c>
      <c r="N351" s="118">
        <f>N352+N353</f>
        <v>0</v>
      </c>
    </row>
    <row r="352" spans="1:14" s="128" customFormat="1" ht="15" customHeight="1">
      <c r="A352" s="135" t="s">
        <v>133</v>
      </c>
      <c r="B352" s="115"/>
      <c r="C352" s="115">
        <v>189</v>
      </c>
      <c r="D352" s="116" t="s">
        <v>521</v>
      </c>
      <c r="E352" s="115"/>
      <c r="F352" s="115">
        <v>189</v>
      </c>
      <c r="G352" s="117" t="s">
        <v>363</v>
      </c>
      <c r="H352" s="118">
        <f t="shared" si="20"/>
        <v>0</v>
      </c>
      <c r="I352" s="118"/>
      <c r="J352" s="118"/>
      <c r="K352" s="119"/>
      <c r="L352" s="123"/>
      <c r="M352" s="118"/>
      <c r="N352" s="118"/>
    </row>
    <row r="353" spans="1:14" s="128" customFormat="1" ht="15" customHeight="1">
      <c r="A353" s="135" t="s">
        <v>134</v>
      </c>
      <c r="B353" s="115"/>
      <c r="C353" s="115">
        <v>189</v>
      </c>
      <c r="D353" s="116" t="s">
        <v>521</v>
      </c>
      <c r="E353" s="115"/>
      <c r="F353" s="115">
        <v>189</v>
      </c>
      <c r="G353" s="117" t="s">
        <v>363</v>
      </c>
      <c r="H353" s="118">
        <f t="shared" si="20"/>
        <v>0</v>
      </c>
      <c r="I353" s="118"/>
      <c r="J353" s="118"/>
      <c r="K353" s="119"/>
      <c r="L353" s="123"/>
      <c r="M353" s="118"/>
      <c r="N353" s="118"/>
    </row>
    <row r="354" spans="1:14" s="128" customFormat="1" ht="23.25" customHeight="1">
      <c r="A354" s="114" t="s">
        <v>211</v>
      </c>
      <c r="B354" s="115">
        <v>180</v>
      </c>
      <c r="C354" s="115">
        <v>400</v>
      </c>
      <c r="D354" s="116" t="s">
        <v>521</v>
      </c>
      <c r="E354" s="115" t="s">
        <v>74</v>
      </c>
      <c r="F354" s="115">
        <v>400</v>
      </c>
      <c r="G354" s="117" t="s">
        <v>363</v>
      </c>
      <c r="H354" s="118">
        <f t="shared" si="20"/>
        <v>0</v>
      </c>
      <c r="I354" s="115" t="s">
        <v>74</v>
      </c>
      <c r="J354" s="115" t="s">
        <v>74</v>
      </c>
      <c r="K354" s="115" t="s">
        <v>74</v>
      </c>
      <c r="L354" s="115" t="s">
        <v>74</v>
      </c>
      <c r="M354" s="118">
        <f>M355+M356+M357+M359+M358</f>
        <v>0</v>
      </c>
      <c r="N354" s="115" t="s">
        <v>74</v>
      </c>
    </row>
    <row r="355" spans="1:14" s="128" customFormat="1" ht="15" customHeight="1">
      <c r="A355" s="136" t="s">
        <v>374</v>
      </c>
      <c r="B355" s="115"/>
      <c r="C355" s="115">
        <v>410</v>
      </c>
      <c r="D355" s="116" t="s">
        <v>521</v>
      </c>
      <c r="E355" s="115"/>
      <c r="F355" s="115">
        <v>410</v>
      </c>
      <c r="G355" s="117" t="s">
        <v>363</v>
      </c>
      <c r="H355" s="118">
        <f t="shared" si="20"/>
        <v>0</v>
      </c>
      <c r="I355" s="118"/>
      <c r="J355" s="118"/>
      <c r="K355" s="119"/>
      <c r="L355" s="123"/>
      <c r="M355" s="118"/>
      <c r="N355" s="118"/>
    </row>
    <row r="356" spans="1:14" s="128" customFormat="1" ht="15" customHeight="1">
      <c r="A356" s="136" t="s">
        <v>375</v>
      </c>
      <c r="B356" s="115"/>
      <c r="C356" s="115">
        <v>420</v>
      </c>
      <c r="D356" s="116" t="s">
        <v>521</v>
      </c>
      <c r="E356" s="115"/>
      <c r="F356" s="115">
        <v>420</v>
      </c>
      <c r="G356" s="117" t="s">
        <v>363</v>
      </c>
      <c r="H356" s="118">
        <f t="shared" si="20"/>
        <v>0</v>
      </c>
      <c r="I356" s="118"/>
      <c r="J356" s="118"/>
      <c r="K356" s="119"/>
      <c r="L356" s="123"/>
      <c r="M356" s="118"/>
      <c r="N356" s="118"/>
    </row>
    <row r="357" spans="1:14" s="128" customFormat="1" ht="15" customHeight="1">
      <c r="A357" s="136" t="s">
        <v>376</v>
      </c>
      <c r="B357" s="115"/>
      <c r="C357" s="115">
        <v>430</v>
      </c>
      <c r="D357" s="116" t="s">
        <v>521</v>
      </c>
      <c r="E357" s="115"/>
      <c r="F357" s="115">
        <v>430</v>
      </c>
      <c r="G357" s="117" t="s">
        <v>363</v>
      </c>
      <c r="H357" s="118">
        <f t="shared" si="20"/>
        <v>0</v>
      </c>
      <c r="I357" s="118"/>
      <c r="J357" s="118"/>
      <c r="K357" s="119"/>
      <c r="L357" s="123"/>
      <c r="M357" s="118"/>
      <c r="N357" s="118"/>
    </row>
    <row r="358" spans="1:14" s="121" customFormat="1" ht="15" customHeight="1">
      <c r="A358" s="136" t="s">
        <v>425</v>
      </c>
      <c r="B358" s="115"/>
      <c r="C358" s="115">
        <v>440</v>
      </c>
      <c r="D358" s="116" t="s">
        <v>521</v>
      </c>
      <c r="E358" s="115"/>
      <c r="F358" s="115">
        <v>440</v>
      </c>
      <c r="G358" s="117" t="s">
        <v>363</v>
      </c>
      <c r="H358" s="118">
        <f>M358</f>
        <v>0</v>
      </c>
      <c r="I358" s="118"/>
      <c r="J358" s="118"/>
      <c r="K358" s="119"/>
      <c r="L358" s="123"/>
      <c r="M358" s="118"/>
      <c r="N358" s="118"/>
    </row>
    <row r="359" spans="1:14" s="128" customFormat="1" ht="15" customHeight="1">
      <c r="A359" s="136" t="s">
        <v>377</v>
      </c>
      <c r="B359" s="115"/>
      <c r="C359" s="115">
        <v>450</v>
      </c>
      <c r="D359" s="116" t="s">
        <v>521</v>
      </c>
      <c r="E359" s="115"/>
      <c r="F359" s="115">
        <v>450</v>
      </c>
      <c r="G359" s="117" t="s">
        <v>363</v>
      </c>
      <c r="H359" s="118">
        <f>M359</f>
        <v>0</v>
      </c>
      <c r="I359" s="118"/>
      <c r="J359" s="118"/>
      <c r="K359" s="119"/>
      <c r="L359" s="123"/>
      <c r="M359" s="118"/>
      <c r="N359" s="118"/>
    </row>
    <row r="360" spans="1:14" s="8" customFormat="1" ht="11.25" customHeight="1">
      <c r="A360" s="137" t="s">
        <v>44</v>
      </c>
      <c r="B360" s="138">
        <v>200</v>
      </c>
      <c r="C360" s="138"/>
      <c r="D360" s="138"/>
      <c r="E360" s="138"/>
      <c r="F360" s="139"/>
      <c r="G360" s="139"/>
      <c r="H360" s="140">
        <f aca="true" t="shared" si="21" ref="H360:N360">H362+H385+H395+H411+H412+H416</f>
        <v>63859916.529999994</v>
      </c>
      <c r="I360" s="140">
        <f t="shared" si="21"/>
        <v>49432260.64</v>
      </c>
      <c r="J360" s="140">
        <f>J362+J385+J395+J411+J412+J416</f>
        <v>902129.53</v>
      </c>
      <c r="K360" s="140">
        <f t="shared" si="21"/>
        <v>0</v>
      </c>
      <c r="L360" s="140">
        <f t="shared" si="21"/>
        <v>0</v>
      </c>
      <c r="M360" s="140">
        <f>M362+M385+M395+M411+M412+M416</f>
        <v>13525526.359999998</v>
      </c>
      <c r="N360" s="140">
        <f t="shared" si="21"/>
        <v>0</v>
      </c>
    </row>
    <row r="361" spans="1:14" s="8" customFormat="1" ht="13.5" customHeight="1">
      <c r="A361" s="141" t="s">
        <v>4</v>
      </c>
      <c r="B361" s="109"/>
      <c r="C361" s="109"/>
      <c r="D361" s="109"/>
      <c r="E361" s="109"/>
      <c r="F361" s="109"/>
      <c r="G361" s="110"/>
      <c r="H361" s="125"/>
      <c r="I361" s="125"/>
      <c r="J361" s="125"/>
      <c r="K361" s="113"/>
      <c r="L361" s="113"/>
      <c r="M361" s="113"/>
      <c r="N361" s="113"/>
    </row>
    <row r="362" spans="1:14" s="8" customFormat="1" ht="13.5" customHeight="1">
      <c r="A362" s="141" t="s">
        <v>296</v>
      </c>
      <c r="B362" s="109">
        <v>210</v>
      </c>
      <c r="C362" s="109"/>
      <c r="D362" s="109"/>
      <c r="E362" s="109"/>
      <c r="F362" s="109"/>
      <c r="G362" s="110"/>
      <c r="H362" s="125">
        <f>H364</f>
        <v>41334910.05</v>
      </c>
      <c r="I362" s="125">
        <f aca="true" t="shared" si="22" ref="I362:N362">I364</f>
        <v>36305946.660000004</v>
      </c>
      <c r="J362" s="125">
        <f t="shared" si="22"/>
        <v>658223.53</v>
      </c>
      <c r="K362" s="125">
        <f t="shared" si="22"/>
        <v>0</v>
      </c>
      <c r="L362" s="125">
        <f t="shared" si="22"/>
        <v>0</v>
      </c>
      <c r="M362" s="125">
        <f t="shared" si="22"/>
        <v>4370739.859999999</v>
      </c>
      <c r="N362" s="125">
        <f t="shared" si="22"/>
        <v>0</v>
      </c>
    </row>
    <row r="363" spans="1:14" s="8" customFormat="1" ht="13.5" customHeight="1">
      <c r="A363" s="142" t="s">
        <v>3</v>
      </c>
      <c r="B363" s="115"/>
      <c r="C363" s="115"/>
      <c r="D363" s="115"/>
      <c r="E363" s="115"/>
      <c r="F363" s="115"/>
      <c r="G363" s="122"/>
      <c r="H363" s="118"/>
      <c r="I363" s="125"/>
      <c r="J363" s="125"/>
      <c r="K363" s="113"/>
      <c r="L363" s="113"/>
      <c r="M363" s="113"/>
      <c r="N363" s="113"/>
    </row>
    <row r="364" spans="1:14" s="8" customFormat="1" ht="25.5" customHeight="1">
      <c r="A364" s="142" t="s">
        <v>297</v>
      </c>
      <c r="B364" s="115">
        <v>211</v>
      </c>
      <c r="C364" s="115"/>
      <c r="D364" s="115"/>
      <c r="E364" s="115"/>
      <c r="F364" s="115"/>
      <c r="G364" s="122"/>
      <c r="H364" s="118">
        <f>SUM(H366:H384)</f>
        <v>41334910.05</v>
      </c>
      <c r="I364" s="125">
        <f>I366+I374+I375+I377+I367+I368+I378+I379</f>
        <v>36305946.660000004</v>
      </c>
      <c r="J364" s="125">
        <f>SUM(J366:J382)</f>
        <v>658223.53</v>
      </c>
      <c r="K364" s="125">
        <f>K366+K374+K375+K377</f>
        <v>0</v>
      </c>
      <c r="L364" s="125">
        <f>L366+L374+L375+L377</f>
        <v>0</v>
      </c>
      <c r="M364" s="125">
        <f>SUM(M366:M384)</f>
        <v>4370739.859999999</v>
      </c>
      <c r="N364" s="125">
        <f>N366+N374+N375+N377</f>
        <v>0</v>
      </c>
    </row>
    <row r="365" spans="1:14" s="8" customFormat="1" ht="16.5" customHeight="1">
      <c r="A365" s="142" t="s">
        <v>4</v>
      </c>
      <c r="B365" s="115"/>
      <c r="C365" s="115"/>
      <c r="D365" s="115"/>
      <c r="E365" s="115"/>
      <c r="F365" s="115"/>
      <c r="G365" s="122"/>
      <c r="H365" s="118"/>
      <c r="I365" s="125"/>
      <c r="J365" s="125"/>
      <c r="K365" s="113"/>
      <c r="L365" s="113"/>
      <c r="M365" s="113"/>
      <c r="N365" s="113"/>
    </row>
    <row r="366" spans="1:14" s="8" customFormat="1" ht="16.5" customHeight="1">
      <c r="A366" s="142" t="s">
        <v>298</v>
      </c>
      <c r="B366" s="115"/>
      <c r="C366" s="115">
        <v>211</v>
      </c>
      <c r="D366" s="115">
        <v>800000000</v>
      </c>
      <c r="E366" s="115">
        <v>111</v>
      </c>
      <c r="F366" s="115">
        <v>211</v>
      </c>
      <c r="G366" s="102" t="s">
        <v>523</v>
      </c>
      <c r="H366" s="118">
        <f aca="true" t="shared" si="23" ref="H366:H371">I366+J366+K366+L366+M366+N366</f>
        <v>19814428.33</v>
      </c>
      <c r="I366" s="125">
        <f>17923864.13+1890564.2</f>
        <v>19814428.33</v>
      </c>
      <c r="J366" s="125"/>
      <c r="K366" s="113"/>
      <c r="L366" s="113"/>
      <c r="M366" s="113"/>
      <c r="N366" s="113"/>
    </row>
    <row r="367" spans="1:14" s="8" customFormat="1" ht="16.5" customHeight="1">
      <c r="A367" s="142" t="s">
        <v>298</v>
      </c>
      <c r="B367" s="487"/>
      <c r="C367" s="487">
        <v>211</v>
      </c>
      <c r="D367" s="489">
        <v>800000000</v>
      </c>
      <c r="E367" s="487">
        <v>111</v>
      </c>
      <c r="F367" s="487">
        <v>211</v>
      </c>
      <c r="G367" s="490" t="s">
        <v>825</v>
      </c>
      <c r="H367" s="491">
        <f t="shared" si="23"/>
        <v>8069263.48</v>
      </c>
      <c r="I367" s="486">
        <v>8069263.48</v>
      </c>
      <c r="J367" s="125"/>
      <c r="K367" s="113"/>
      <c r="L367" s="113"/>
      <c r="M367" s="113"/>
      <c r="N367" s="113"/>
    </row>
    <row r="368" spans="1:14" s="8" customFormat="1" ht="16.5" customHeight="1">
      <c r="A368" s="142" t="s">
        <v>298</v>
      </c>
      <c r="B368" s="487"/>
      <c r="C368" s="487">
        <v>211</v>
      </c>
      <c r="D368" s="489">
        <v>800000000</v>
      </c>
      <c r="E368" s="487">
        <v>111</v>
      </c>
      <c r="F368" s="487">
        <v>211</v>
      </c>
      <c r="G368" s="490" t="s">
        <v>523</v>
      </c>
      <c r="H368" s="491">
        <f t="shared" si="23"/>
        <v>0</v>
      </c>
      <c r="I368" s="486"/>
      <c r="J368" s="125"/>
      <c r="K368" s="113"/>
      <c r="L368" s="113"/>
      <c r="M368" s="113"/>
      <c r="N368" s="113"/>
    </row>
    <row r="369" spans="1:14" s="8" customFormat="1" ht="16.5" customHeight="1">
      <c r="A369" s="142" t="s">
        <v>298</v>
      </c>
      <c r="B369" s="487"/>
      <c r="C369" s="487">
        <v>211</v>
      </c>
      <c r="D369" s="489">
        <v>901480000</v>
      </c>
      <c r="E369" s="487">
        <v>111</v>
      </c>
      <c r="F369" s="487">
        <v>211</v>
      </c>
      <c r="G369" s="500" t="s">
        <v>523</v>
      </c>
      <c r="H369" s="491">
        <f t="shared" si="23"/>
        <v>279864.68</v>
      </c>
      <c r="I369" s="485">
        <v>0</v>
      </c>
      <c r="J369" s="486">
        <v>279864.68</v>
      </c>
      <c r="K369" s="113"/>
      <c r="L369" s="113"/>
      <c r="M369" s="113"/>
      <c r="N369" s="113"/>
    </row>
    <row r="370" spans="1:14" s="8" customFormat="1" ht="16.5" customHeight="1">
      <c r="A370" s="142" t="s">
        <v>298</v>
      </c>
      <c r="B370" s="487"/>
      <c r="C370" s="487">
        <v>211</v>
      </c>
      <c r="D370" s="489">
        <v>901160000</v>
      </c>
      <c r="E370" s="487">
        <v>111</v>
      </c>
      <c r="F370" s="487">
        <v>211</v>
      </c>
      <c r="G370" s="500" t="s">
        <v>523</v>
      </c>
      <c r="H370" s="491">
        <f t="shared" si="23"/>
        <v>97731.18</v>
      </c>
      <c r="I370" s="485">
        <v>0</v>
      </c>
      <c r="J370" s="486">
        <v>97731.18</v>
      </c>
      <c r="K370" s="113"/>
      <c r="L370" s="113"/>
      <c r="M370" s="113"/>
      <c r="N370" s="113"/>
    </row>
    <row r="371" spans="1:14" s="8" customFormat="1" ht="16.5" customHeight="1">
      <c r="A371" s="142" t="s">
        <v>298</v>
      </c>
      <c r="B371" s="487"/>
      <c r="C371" s="487">
        <v>211</v>
      </c>
      <c r="D371" s="489">
        <v>901830000</v>
      </c>
      <c r="E371" s="487">
        <v>111</v>
      </c>
      <c r="F371" s="487">
        <v>211</v>
      </c>
      <c r="G371" s="500" t="s">
        <v>523</v>
      </c>
      <c r="H371" s="491">
        <f t="shared" si="23"/>
        <v>51147.87</v>
      </c>
      <c r="I371" s="485">
        <v>0</v>
      </c>
      <c r="J371" s="486">
        <v>51147.87</v>
      </c>
      <c r="K371" s="113"/>
      <c r="L371" s="113"/>
      <c r="M371" s="113"/>
      <c r="N371" s="113"/>
    </row>
    <row r="372" spans="1:14" s="8" customFormat="1" ht="16.5" customHeight="1">
      <c r="A372" s="142" t="s">
        <v>298</v>
      </c>
      <c r="B372" s="115"/>
      <c r="C372" s="115">
        <v>211</v>
      </c>
      <c r="D372" s="116" t="s">
        <v>521</v>
      </c>
      <c r="E372" s="115">
        <v>111</v>
      </c>
      <c r="F372" s="115">
        <v>211</v>
      </c>
      <c r="G372" s="102" t="s">
        <v>530</v>
      </c>
      <c r="H372" s="118">
        <f>SUM(I372:M372)</f>
        <v>3356945.7699999996</v>
      </c>
      <c r="I372" s="125"/>
      <c r="J372" s="125"/>
      <c r="K372" s="113"/>
      <c r="L372" s="113"/>
      <c r="M372" s="113">
        <f>2128645.86+1228299.91</f>
        <v>3356945.7699999996</v>
      </c>
      <c r="N372" s="113"/>
    </row>
    <row r="373" spans="1:14" s="8" customFormat="1" ht="16.5" customHeight="1" hidden="1">
      <c r="A373" s="142" t="s">
        <v>298</v>
      </c>
      <c r="B373" s="487"/>
      <c r="C373" s="489">
        <v>211</v>
      </c>
      <c r="D373" s="488" t="s">
        <v>521</v>
      </c>
      <c r="E373" s="489">
        <v>111</v>
      </c>
      <c r="F373" s="489">
        <v>211</v>
      </c>
      <c r="G373" s="494" t="s">
        <v>530</v>
      </c>
      <c r="H373" s="491">
        <f aca="true" t="shared" si="24" ref="H373:H383">I373+J373+K373+L373+M373+N373</f>
        <v>0</v>
      </c>
      <c r="I373" s="485">
        <v>0</v>
      </c>
      <c r="J373" s="485">
        <v>0</v>
      </c>
      <c r="K373" s="499">
        <v>0</v>
      </c>
      <c r="L373" s="499">
        <v>0</v>
      </c>
      <c r="M373" s="497"/>
      <c r="N373" s="113"/>
    </row>
    <row r="374" spans="1:14" s="8" customFormat="1" ht="16.5" customHeight="1">
      <c r="A374" s="142" t="s">
        <v>299</v>
      </c>
      <c r="B374" s="115"/>
      <c r="C374" s="115">
        <v>211</v>
      </c>
      <c r="D374" s="115"/>
      <c r="E374" s="115">
        <v>111</v>
      </c>
      <c r="F374" s="115">
        <v>211</v>
      </c>
      <c r="G374" s="122"/>
      <c r="H374" s="118">
        <f t="shared" si="24"/>
        <v>0</v>
      </c>
      <c r="I374" s="125"/>
      <c r="J374" s="125"/>
      <c r="K374" s="113"/>
      <c r="L374" s="113"/>
      <c r="M374" s="113"/>
      <c r="N374" s="113"/>
    </row>
    <row r="375" spans="1:14" s="8" customFormat="1" ht="54" customHeight="1">
      <c r="A375" s="142" t="s">
        <v>300</v>
      </c>
      <c r="B375" s="487"/>
      <c r="C375" s="489">
        <v>266</v>
      </c>
      <c r="D375" s="489">
        <v>800000000</v>
      </c>
      <c r="E375" s="489">
        <v>112</v>
      </c>
      <c r="F375" s="489">
        <v>266</v>
      </c>
      <c r="G375" s="490" t="s">
        <v>825</v>
      </c>
      <c r="H375" s="491">
        <f t="shared" si="24"/>
        <v>1380</v>
      </c>
      <c r="I375" s="486">
        <f>690*2</f>
        <v>1380</v>
      </c>
      <c r="J375" s="125">
        <v>0</v>
      </c>
      <c r="K375" s="113"/>
      <c r="L375" s="113"/>
      <c r="M375" s="113"/>
      <c r="N375" s="113"/>
    </row>
    <row r="376" spans="1:14" s="8" customFormat="1" ht="54" customHeight="1">
      <c r="A376" s="142" t="s">
        <v>842</v>
      </c>
      <c r="B376" s="487"/>
      <c r="C376" s="489">
        <v>266</v>
      </c>
      <c r="D376" s="489">
        <v>901480000</v>
      </c>
      <c r="E376" s="489">
        <v>112</v>
      </c>
      <c r="F376" s="489">
        <v>266</v>
      </c>
      <c r="G376" s="500" t="s">
        <v>523</v>
      </c>
      <c r="H376" s="491">
        <f t="shared" si="24"/>
        <v>100000</v>
      </c>
      <c r="I376" s="485">
        <v>0</v>
      </c>
      <c r="J376" s="486">
        <v>100000</v>
      </c>
      <c r="K376" s="113"/>
      <c r="L376" s="113"/>
      <c r="M376" s="113"/>
      <c r="N376" s="113"/>
    </row>
    <row r="377" spans="1:14" s="8" customFormat="1" ht="15.75" customHeight="1">
      <c r="A377" s="142" t="s">
        <v>301</v>
      </c>
      <c r="B377" s="115"/>
      <c r="C377" s="115">
        <v>213</v>
      </c>
      <c r="D377" s="115">
        <v>800000000</v>
      </c>
      <c r="E377" s="115">
        <v>119</v>
      </c>
      <c r="F377" s="115">
        <v>213</v>
      </c>
      <c r="G377" s="102" t="s">
        <v>523</v>
      </c>
      <c r="H377" s="118">
        <f t="shared" si="24"/>
        <v>5934918.67</v>
      </c>
      <c r="I377" s="125">
        <f>5413006.97+521911.7</f>
        <v>5934918.67</v>
      </c>
      <c r="J377" s="125"/>
      <c r="K377" s="113"/>
      <c r="L377" s="113"/>
      <c r="M377" s="113"/>
      <c r="N377" s="113"/>
    </row>
    <row r="378" spans="1:14" s="8" customFormat="1" ht="15.75" customHeight="1">
      <c r="A378" s="142" t="s">
        <v>301</v>
      </c>
      <c r="B378" s="487"/>
      <c r="C378" s="489">
        <v>213</v>
      </c>
      <c r="D378" s="489">
        <v>800000000</v>
      </c>
      <c r="E378" s="489">
        <v>119</v>
      </c>
      <c r="F378" s="489">
        <v>213</v>
      </c>
      <c r="G378" s="490" t="s">
        <v>825</v>
      </c>
      <c r="H378" s="491">
        <f t="shared" si="24"/>
        <v>2485956.18</v>
      </c>
      <c r="I378" s="486">
        <v>2485956.18</v>
      </c>
      <c r="J378" s="125"/>
      <c r="K378" s="113"/>
      <c r="L378" s="113"/>
      <c r="M378" s="113"/>
      <c r="N378" s="113"/>
    </row>
    <row r="379" spans="1:14" s="8" customFormat="1" ht="15.75" customHeight="1">
      <c r="A379" s="142" t="s">
        <v>301</v>
      </c>
      <c r="B379" s="487"/>
      <c r="C379" s="489">
        <v>213</v>
      </c>
      <c r="D379" s="489">
        <v>800000000</v>
      </c>
      <c r="E379" s="489">
        <v>119</v>
      </c>
      <c r="F379" s="489">
        <v>213</v>
      </c>
      <c r="G379" s="490" t="s">
        <v>523</v>
      </c>
      <c r="H379" s="491">
        <f t="shared" si="24"/>
        <v>0</v>
      </c>
      <c r="I379" s="486"/>
      <c r="J379" s="125"/>
      <c r="K379" s="113"/>
      <c r="L379" s="113"/>
      <c r="M379" s="113"/>
      <c r="N379" s="113"/>
    </row>
    <row r="380" spans="1:14" s="8" customFormat="1" ht="15.75" customHeight="1">
      <c r="A380" s="142" t="s">
        <v>301</v>
      </c>
      <c r="B380" s="487"/>
      <c r="C380" s="489">
        <v>213</v>
      </c>
      <c r="D380" s="489">
        <v>901480000</v>
      </c>
      <c r="E380" s="489">
        <v>119</v>
      </c>
      <c r="F380" s="489">
        <v>213</v>
      </c>
      <c r="G380" s="500" t="s">
        <v>523</v>
      </c>
      <c r="H380" s="491">
        <f t="shared" si="24"/>
        <v>84518.32</v>
      </c>
      <c r="I380" s="485">
        <v>0</v>
      </c>
      <c r="J380" s="486">
        <v>84518.32</v>
      </c>
      <c r="K380" s="113"/>
      <c r="L380" s="113"/>
      <c r="M380" s="113"/>
      <c r="N380" s="113"/>
    </row>
    <row r="381" spans="1:14" s="8" customFormat="1" ht="15.75" customHeight="1">
      <c r="A381" s="142" t="s">
        <v>301</v>
      </c>
      <c r="B381" s="487"/>
      <c r="C381" s="489">
        <v>213</v>
      </c>
      <c r="D381" s="489">
        <v>901160000</v>
      </c>
      <c r="E381" s="489">
        <v>119</v>
      </c>
      <c r="F381" s="489">
        <v>213</v>
      </c>
      <c r="G381" s="500" t="s">
        <v>523</v>
      </c>
      <c r="H381" s="491">
        <f t="shared" si="24"/>
        <v>29514.82</v>
      </c>
      <c r="I381" s="485">
        <v>0</v>
      </c>
      <c r="J381" s="486">
        <v>29514.82</v>
      </c>
      <c r="K381" s="113"/>
      <c r="L381" s="113"/>
      <c r="M381" s="113"/>
      <c r="N381" s="113"/>
    </row>
    <row r="382" spans="1:14" s="8" customFormat="1" ht="15.75" customHeight="1">
      <c r="A382" s="142" t="s">
        <v>301</v>
      </c>
      <c r="B382" s="487"/>
      <c r="C382" s="489">
        <v>213</v>
      </c>
      <c r="D382" s="489">
        <v>901830000</v>
      </c>
      <c r="E382" s="489">
        <v>119</v>
      </c>
      <c r="F382" s="489">
        <v>213</v>
      </c>
      <c r="G382" s="500" t="s">
        <v>523</v>
      </c>
      <c r="H382" s="491">
        <f t="shared" si="24"/>
        <v>15446.66</v>
      </c>
      <c r="I382" s="485">
        <v>0</v>
      </c>
      <c r="J382" s="486">
        <v>15446.66</v>
      </c>
      <c r="K382" s="113"/>
      <c r="L382" s="113"/>
      <c r="M382" s="113"/>
      <c r="N382" s="113"/>
    </row>
    <row r="383" spans="1:14" s="8" customFormat="1" ht="15.75" customHeight="1">
      <c r="A383" s="142" t="s">
        <v>301</v>
      </c>
      <c r="B383" s="487"/>
      <c r="C383" s="487">
        <v>213</v>
      </c>
      <c r="D383" s="488" t="s">
        <v>521</v>
      </c>
      <c r="E383" s="487">
        <v>119</v>
      </c>
      <c r="F383" s="487">
        <v>213</v>
      </c>
      <c r="G383" s="494" t="s">
        <v>530</v>
      </c>
      <c r="H383" s="491">
        <f t="shared" si="24"/>
        <v>1013794.0900000001</v>
      </c>
      <c r="I383" s="485">
        <v>0</v>
      </c>
      <c r="J383" s="485">
        <v>0</v>
      </c>
      <c r="K383" s="499">
        <v>0</v>
      </c>
      <c r="L383" s="499">
        <v>0</v>
      </c>
      <c r="M383" s="496">
        <f>370946.69+642847.4</f>
        <v>1013794.0900000001</v>
      </c>
      <c r="N383" s="113"/>
    </row>
    <row r="384" spans="1:14" s="8" customFormat="1" ht="15.75" customHeight="1" hidden="1">
      <c r="A384" s="142" t="s">
        <v>301</v>
      </c>
      <c r="B384" s="115"/>
      <c r="C384" s="115">
        <v>213</v>
      </c>
      <c r="D384" s="116" t="s">
        <v>521</v>
      </c>
      <c r="E384" s="115">
        <v>119</v>
      </c>
      <c r="F384" s="115">
        <v>213</v>
      </c>
      <c r="G384" s="102" t="s">
        <v>530</v>
      </c>
      <c r="H384" s="118">
        <f>SUM(I384:M384)</f>
        <v>0</v>
      </c>
      <c r="I384" s="125"/>
      <c r="J384" s="125"/>
      <c r="K384" s="113"/>
      <c r="L384" s="113"/>
      <c r="M384" s="113"/>
      <c r="N384" s="113"/>
    </row>
    <row r="385" spans="1:14" s="8" customFormat="1" ht="24.75" customHeight="1">
      <c r="A385" s="142" t="s">
        <v>399</v>
      </c>
      <c r="B385" s="115">
        <v>220</v>
      </c>
      <c r="C385" s="115"/>
      <c r="D385" s="115"/>
      <c r="E385" s="115"/>
      <c r="F385" s="115"/>
      <c r="G385" s="115"/>
      <c r="H385" s="120">
        <f>SUM(I385:M385)</f>
        <v>243906</v>
      </c>
      <c r="I385" s="113">
        <f>I387+I391+I392+I393+I394</f>
        <v>0</v>
      </c>
      <c r="J385" s="113">
        <f>SUM(J387:J392)</f>
        <v>243906</v>
      </c>
      <c r="K385" s="113">
        <f>K387+K391+K392+K393+K394</f>
        <v>0</v>
      </c>
      <c r="L385" s="113">
        <f>L387+L391+L392+L393+L394</f>
        <v>0</v>
      </c>
      <c r="M385" s="113">
        <f>M387+M391+M392+M393+M394</f>
        <v>0</v>
      </c>
      <c r="N385" s="113">
        <f>N387+N391+N392+N393+N394</f>
        <v>0</v>
      </c>
    </row>
    <row r="386" spans="1:14" s="8" customFormat="1" ht="15.75" customHeight="1">
      <c r="A386" s="142" t="s">
        <v>3</v>
      </c>
      <c r="B386" s="115"/>
      <c r="C386" s="115"/>
      <c r="D386" s="115"/>
      <c r="E386" s="115"/>
      <c r="F386" s="115"/>
      <c r="G386" s="122"/>
      <c r="H386" s="118"/>
      <c r="I386" s="125"/>
      <c r="J386" s="125"/>
      <c r="K386" s="113"/>
      <c r="L386" s="113"/>
      <c r="M386" s="113"/>
      <c r="N386" s="113"/>
    </row>
    <row r="387" spans="1:14" s="8" customFormat="1" ht="39" customHeight="1">
      <c r="A387" s="143" t="s">
        <v>302</v>
      </c>
      <c r="B387" s="144"/>
      <c r="C387" s="145">
        <v>263</v>
      </c>
      <c r="D387" s="115">
        <v>901140000</v>
      </c>
      <c r="E387" s="115">
        <v>323</v>
      </c>
      <c r="F387" s="145">
        <v>263</v>
      </c>
      <c r="G387" s="146" t="s">
        <v>523</v>
      </c>
      <c r="H387" s="118">
        <f aca="true" t="shared" si="25" ref="H387:H394">I387+J387+K387+L387+M387+N387</f>
        <v>0</v>
      </c>
      <c r="I387" s="125"/>
      <c r="J387" s="125">
        <v>0</v>
      </c>
      <c r="K387" s="113"/>
      <c r="L387" s="113"/>
      <c r="M387" s="113"/>
      <c r="N387" s="113"/>
    </row>
    <row r="388" spans="1:14" s="8" customFormat="1" ht="39" customHeight="1">
      <c r="A388" s="114" t="s">
        <v>833</v>
      </c>
      <c r="B388" s="487"/>
      <c r="C388" s="489">
        <v>263</v>
      </c>
      <c r="D388" s="489">
        <v>901140000</v>
      </c>
      <c r="E388" s="489">
        <v>323</v>
      </c>
      <c r="F388" s="489">
        <v>263</v>
      </c>
      <c r="G388" s="500" t="s">
        <v>523</v>
      </c>
      <c r="H388" s="491">
        <f t="shared" si="25"/>
        <v>56596</v>
      </c>
      <c r="I388" s="485">
        <v>0</v>
      </c>
      <c r="J388" s="486">
        <v>56596</v>
      </c>
      <c r="K388" s="113"/>
      <c r="L388" s="113"/>
      <c r="M388" s="113"/>
      <c r="N388" s="113"/>
    </row>
    <row r="389" spans="1:14" s="8" customFormat="1" ht="39" customHeight="1">
      <c r="A389" s="114" t="s">
        <v>835</v>
      </c>
      <c r="B389" s="487"/>
      <c r="C389" s="489">
        <v>263</v>
      </c>
      <c r="D389" s="489">
        <v>901150000</v>
      </c>
      <c r="E389" s="489">
        <v>323</v>
      </c>
      <c r="F389" s="489">
        <v>263</v>
      </c>
      <c r="G389" s="500" t="s">
        <v>523</v>
      </c>
      <c r="H389" s="491">
        <f t="shared" si="25"/>
        <v>67915</v>
      </c>
      <c r="I389" s="485">
        <v>0</v>
      </c>
      <c r="J389" s="486">
        <v>67915</v>
      </c>
      <c r="K389" s="113"/>
      <c r="L389" s="113"/>
      <c r="M389" s="113"/>
      <c r="N389" s="113"/>
    </row>
    <row r="390" spans="1:14" s="8" customFormat="1" ht="39" customHeight="1">
      <c r="A390" s="114" t="s">
        <v>241</v>
      </c>
      <c r="B390" s="487"/>
      <c r="C390" s="489">
        <v>263</v>
      </c>
      <c r="D390" s="502">
        <v>901210000</v>
      </c>
      <c r="E390" s="489">
        <v>323</v>
      </c>
      <c r="F390" s="489">
        <v>263</v>
      </c>
      <c r="G390" s="492" t="s">
        <v>518</v>
      </c>
      <c r="H390" s="491">
        <f t="shared" si="25"/>
        <v>105533</v>
      </c>
      <c r="I390" s="485">
        <v>0</v>
      </c>
      <c r="J390" s="486">
        <v>105533</v>
      </c>
      <c r="K390" s="113"/>
      <c r="L390" s="113"/>
      <c r="M390" s="113"/>
      <c r="N390" s="113"/>
    </row>
    <row r="391" spans="1:14" s="8" customFormat="1" ht="33.75" customHeight="1">
      <c r="A391" s="136" t="s">
        <v>39</v>
      </c>
      <c r="B391" s="115"/>
      <c r="C391" s="115">
        <v>262</v>
      </c>
      <c r="D391" s="115">
        <v>901140000</v>
      </c>
      <c r="E391" s="115">
        <v>321</v>
      </c>
      <c r="F391" s="115">
        <v>262</v>
      </c>
      <c r="G391" s="146" t="s">
        <v>523</v>
      </c>
      <c r="H391" s="118">
        <f t="shared" si="25"/>
        <v>13862</v>
      </c>
      <c r="I391" s="125"/>
      <c r="J391" s="160">
        <v>13862</v>
      </c>
      <c r="K391" s="113"/>
      <c r="L391" s="113"/>
      <c r="M391" s="113"/>
      <c r="N391" s="113"/>
    </row>
    <row r="392" spans="1:14" s="8" customFormat="1" ht="15.75" customHeight="1">
      <c r="A392" s="136" t="s">
        <v>303</v>
      </c>
      <c r="B392" s="115"/>
      <c r="C392" s="115"/>
      <c r="D392" s="115"/>
      <c r="E392" s="115"/>
      <c r="F392" s="115"/>
      <c r="G392" s="122"/>
      <c r="H392" s="118">
        <f t="shared" si="25"/>
        <v>0</v>
      </c>
      <c r="I392" s="125"/>
      <c r="J392" s="125"/>
      <c r="K392" s="113"/>
      <c r="L392" s="113"/>
      <c r="M392" s="113"/>
      <c r="N392" s="113"/>
    </row>
    <row r="393" spans="1:14" s="8" customFormat="1" ht="15.75" customHeight="1">
      <c r="A393" s="136" t="s">
        <v>304</v>
      </c>
      <c r="B393" s="115"/>
      <c r="C393" s="115">
        <v>290</v>
      </c>
      <c r="D393" s="115"/>
      <c r="E393" s="115">
        <v>350</v>
      </c>
      <c r="F393" s="115">
        <v>290</v>
      </c>
      <c r="G393" s="122"/>
      <c r="H393" s="118">
        <f t="shared" si="25"/>
        <v>0</v>
      </c>
      <c r="I393" s="125"/>
      <c r="J393" s="125"/>
      <c r="K393" s="113"/>
      <c r="L393" s="113"/>
      <c r="M393" s="113"/>
      <c r="N393" s="113"/>
    </row>
    <row r="394" spans="1:14" s="8" customFormat="1" ht="15.75" customHeight="1">
      <c r="A394" s="136" t="s">
        <v>305</v>
      </c>
      <c r="B394" s="115"/>
      <c r="C394" s="115"/>
      <c r="D394" s="115"/>
      <c r="E394" s="115"/>
      <c r="F394" s="115"/>
      <c r="G394" s="122"/>
      <c r="H394" s="118">
        <f t="shared" si="25"/>
        <v>0</v>
      </c>
      <c r="I394" s="125"/>
      <c r="J394" s="125"/>
      <c r="K394" s="113"/>
      <c r="L394" s="113"/>
      <c r="M394" s="113"/>
      <c r="N394" s="113"/>
    </row>
    <row r="395" spans="1:14" s="8" customFormat="1" ht="24.75" customHeight="1">
      <c r="A395" s="136" t="s">
        <v>306</v>
      </c>
      <c r="B395" s="115">
        <v>230</v>
      </c>
      <c r="C395" s="115"/>
      <c r="D395" s="115"/>
      <c r="E395" s="115"/>
      <c r="F395" s="115"/>
      <c r="G395" s="122"/>
      <c r="H395" s="118">
        <f aca="true" t="shared" si="26" ref="H395:N395">H396+H399</f>
        <v>4441633</v>
      </c>
      <c r="I395" s="125">
        <f t="shared" si="26"/>
        <v>4041887</v>
      </c>
      <c r="J395" s="125">
        <f t="shared" si="26"/>
        <v>0</v>
      </c>
      <c r="K395" s="125">
        <f t="shared" si="26"/>
        <v>0</v>
      </c>
      <c r="L395" s="125">
        <f t="shared" si="26"/>
        <v>0</v>
      </c>
      <c r="M395" s="125">
        <f t="shared" si="26"/>
        <v>399746</v>
      </c>
      <c r="N395" s="125">
        <f t="shared" si="26"/>
        <v>0</v>
      </c>
    </row>
    <row r="396" spans="1:14" s="8" customFormat="1" ht="15.75" customHeight="1">
      <c r="A396" s="142" t="s">
        <v>3</v>
      </c>
      <c r="B396" s="115"/>
      <c r="C396" s="115"/>
      <c r="D396" s="115"/>
      <c r="E396" s="115"/>
      <c r="F396" s="115"/>
      <c r="G396" s="122"/>
      <c r="H396" s="118">
        <f aca="true" t="shared" si="27" ref="H396:N396">H397+H398</f>
        <v>4441633</v>
      </c>
      <c r="I396" s="125">
        <f t="shared" si="27"/>
        <v>4041887</v>
      </c>
      <c r="J396" s="125">
        <f t="shared" si="27"/>
        <v>0</v>
      </c>
      <c r="K396" s="125">
        <f t="shared" si="27"/>
        <v>0</v>
      </c>
      <c r="L396" s="125">
        <f t="shared" si="27"/>
        <v>0</v>
      </c>
      <c r="M396" s="125">
        <f t="shared" si="27"/>
        <v>399746</v>
      </c>
      <c r="N396" s="125">
        <f t="shared" si="27"/>
        <v>0</v>
      </c>
    </row>
    <row r="397" spans="1:14" s="8" customFormat="1" ht="15.75" customHeight="1">
      <c r="A397" s="142" t="s">
        <v>307</v>
      </c>
      <c r="B397" s="115"/>
      <c r="C397" s="115">
        <v>290</v>
      </c>
      <c r="D397" s="115"/>
      <c r="E397" s="115">
        <v>831</v>
      </c>
      <c r="F397" s="115">
        <v>290</v>
      </c>
      <c r="G397" s="122"/>
      <c r="H397" s="118">
        <f>I397+J397+K397+L397+M397+N397</f>
        <v>0</v>
      </c>
      <c r="I397" s="125"/>
      <c r="J397" s="125"/>
      <c r="K397" s="113"/>
      <c r="L397" s="113"/>
      <c r="M397" s="113"/>
      <c r="N397" s="113"/>
    </row>
    <row r="398" spans="1:14" s="8" customFormat="1" ht="15.75" customHeight="1">
      <c r="A398" s="142" t="s">
        <v>308</v>
      </c>
      <c r="B398" s="115"/>
      <c r="C398" s="115">
        <v>290</v>
      </c>
      <c r="D398" s="115"/>
      <c r="E398" s="115">
        <v>850</v>
      </c>
      <c r="F398" s="115">
        <v>290</v>
      </c>
      <c r="G398" s="122"/>
      <c r="H398" s="118">
        <f>I398+J398+K398+L398+M398+N398</f>
        <v>4441633</v>
      </c>
      <c r="I398" s="125">
        <f aca="true" t="shared" si="28" ref="I398:N398">SUM(I400:I410)</f>
        <v>4041887</v>
      </c>
      <c r="J398" s="125">
        <f t="shared" si="28"/>
        <v>0</v>
      </c>
      <c r="K398" s="125">
        <f t="shared" si="28"/>
        <v>0</v>
      </c>
      <c r="L398" s="125">
        <f t="shared" si="28"/>
        <v>0</v>
      </c>
      <c r="M398" s="125">
        <f t="shared" si="28"/>
        <v>399746</v>
      </c>
      <c r="N398" s="125">
        <f t="shared" si="28"/>
        <v>0</v>
      </c>
    </row>
    <row r="399" spans="1:14" s="8" customFormat="1" ht="15.75" customHeight="1">
      <c r="A399" s="142" t="s">
        <v>4</v>
      </c>
      <c r="B399" s="115"/>
      <c r="C399" s="115"/>
      <c r="D399" s="115"/>
      <c r="E399" s="115"/>
      <c r="F399" s="115"/>
      <c r="G399" s="122"/>
      <c r="H399" s="118"/>
      <c r="I399" s="125"/>
      <c r="J399" s="125"/>
      <c r="K399" s="125"/>
      <c r="L399" s="125"/>
      <c r="M399" s="125"/>
      <c r="N399" s="125"/>
    </row>
    <row r="400" spans="1:14" s="8" customFormat="1" ht="26.25" customHeight="1">
      <c r="A400" s="142" t="s">
        <v>309</v>
      </c>
      <c r="B400" s="115"/>
      <c r="C400" s="115">
        <v>291</v>
      </c>
      <c r="D400" s="115">
        <v>800000000</v>
      </c>
      <c r="E400" s="115">
        <v>851</v>
      </c>
      <c r="F400" s="115">
        <v>291</v>
      </c>
      <c r="G400" s="102" t="s">
        <v>532</v>
      </c>
      <c r="H400" s="118">
        <f>I400+J400+K400+L400+M400+N400</f>
        <v>4041887</v>
      </c>
      <c r="I400" s="125">
        <f>2959713+1082174</f>
        <v>4041887</v>
      </c>
      <c r="J400" s="125"/>
      <c r="K400" s="113"/>
      <c r="L400" s="113"/>
      <c r="M400" s="113">
        <v>0</v>
      </c>
      <c r="N400" s="113"/>
    </row>
    <row r="401" spans="1:14" s="8" customFormat="1" ht="26.25" customHeight="1" hidden="1">
      <c r="A401" s="142" t="s">
        <v>309</v>
      </c>
      <c r="B401" s="487"/>
      <c r="C401" s="489">
        <v>291</v>
      </c>
      <c r="D401" s="489">
        <v>800000000</v>
      </c>
      <c r="E401" s="489">
        <v>851</v>
      </c>
      <c r="F401" s="489">
        <v>291</v>
      </c>
      <c r="G401" s="492" t="s">
        <v>516</v>
      </c>
      <c r="H401" s="491">
        <f>SUM(I401:N401)</f>
        <v>0</v>
      </c>
      <c r="I401" s="486"/>
      <c r="J401" s="125"/>
      <c r="K401" s="113"/>
      <c r="L401" s="113"/>
      <c r="M401" s="113"/>
      <c r="N401" s="113"/>
    </row>
    <row r="402" spans="1:14" s="8" customFormat="1" ht="26.25" customHeight="1">
      <c r="A402" s="142" t="s">
        <v>309</v>
      </c>
      <c r="B402" s="115"/>
      <c r="C402" s="115">
        <v>291</v>
      </c>
      <c r="D402" s="116" t="s">
        <v>521</v>
      </c>
      <c r="E402" s="115">
        <v>851</v>
      </c>
      <c r="F402" s="115">
        <v>291</v>
      </c>
      <c r="G402" s="102" t="s">
        <v>533</v>
      </c>
      <c r="H402" s="118">
        <f>I402+J402+K402+L402+M402+N402</f>
        <v>399746</v>
      </c>
      <c r="I402" s="125">
        <v>0</v>
      </c>
      <c r="J402" s="125"/>
      <c r="K402" s="113"/>
      <c r="L402" s="113"/>
      <c r="M402" s="113">
        <f>292718+107028</f>
        <v>399746</v>
      </c>
      <c r="N402" s="113"/>
    </row>
    <row r="403" spans="1:14" s="8" customFormat="1" ht="26.25" customHeight="1" hidden="1">
      <c r="A403" s="142" t="s">
        <v>309</v>
      </c>
      <c r="B403" s="487"/>
      <c r="C403" s="489">
        <v>291</v>
      </c>
      <c r="D403" s="488" t="s">
        <v>521</v>
      </c>
      <c r="E403" s="489">
        <v>851</v>
      </c>
      <c r="F403" s="489">
        <v>291</v>
      </c>
      <c r="G403" s="492" t="s">
        <v>530</v>
      </c>
      <c r="H403" s="491">
        <f>I403+J403+K403+L403+M403+N403</f>
        <v>0</v>
      </c>
      <c r="I403" s="485">
        <v>0</v>
      </c>
      <c r="J403" s="485">
        <v>0</v>
      </c>
      <c r="K403" s="499">
        <v>0</v>
      </c>
      <c r="L403" s="499">
        <v>0</v>
      </c>
      <c r="M403" s="497"/>
      <c r="N403" s="113"/>
    </row>
    <row r="404" spans="1:15" s="8" customFormat="1" ht="15" customHeight="1">
      <c r="A404" s="142" t="s">
        <v>357</v>
      </c>
      <c r="B404" s="115"/>
      <c r="C404" s="115">
        <v>291</v>
      </c>
      <c r="D404" s="115"/>
      <c r="E404" s="115">
        <v>852</v>
      </c>
      <c r="F404" s="115">
        <v>291</v>
      </c>
      <c r="G404" s="122"/>
      <c r="H404" s="118">
        <f aca="true" t="shared" si="29" ref="H404:H411">I404+J404+K404+L404+M404+N404</f>
        <v>0</v>
      </c>
      <c r="I404" s="125"/>
      <c r="J404" s="125"/>
      <c r="K404" s="113"/>
      <c r="L404" s="113"/>
      <c r="M404" s="113"/>
      <c r="N404" s="113"/>
      <c r="O404" s="8" t="s">
        <v>378</v>
      </c>
    </row>
    <row r="405" spans="1:15" s="8" customFormat="1" ht="15" customHeight="1">
      <c r="A405" s="142" t="s">
        <v>310</v>
      </c>
      <c r="B405" s="115"/>
      <c r="C405" s="115">
        <v>291</v>
      </c>
      <c r="D405" s="115"/>
      <c r="E405" s="115">
        <v>853</v>
      </c>
      <c r="F405" s="115">
        <v>291</v>
      </c>
      <c r="G405" s="122"/>
      <c r="H405" s="118">
        <f t="shared" si="29"/>
        <v>0</v>
      </c>
      <c r="I405" s="125"/>
      <c r="J405" s="125"/>
      <c r="K405" s="113"/>
      <c r="L405" s="113"/>
      <c r="M405" s="113"/>
      <c r="N405" s="113"/>
      <c r="O405" s="8" t="s">
        <v>379</v>
      </c>
    </row>
    <row r="406" spans="1:14" s="8" customFormat="1" ht="34.5" customHeight="1">
      <c r="A406" s="142" t="s">
        <v>358</v>
      </c>
      <c r="B406" s="115"/>
      <c r="C406" s="115">
        <v>292</v>
      </c>
      <c r="D406" s="115"/>
      <c r="E406" s="115">
        <v>853</v>
      </c>
      <c r="F406" s="115">
        <v>292</v>
      </c>
      <c r="G406" s="122"/>
      <c r="H406" s="118">
        <f t="shared" si="29"/>
        <v>0</v>
      </c>
      <c r="I406" s="125"/>
      <c r="J406" s="125"/>
      <c r="K406" s="113"/>
      <c r="L406" s="113"/>
      <c r="M406" s="113"/>
      <c r="N406" s="113"/>
    </row>
    <row r="407" spans="1:14" s="8" customFormat="1" ht="26.25" customHeight="1">
      <c r="A407" s="142" t="s">
        <v>359</v>
      </c>
      <c r="B407" s="115"/>
      <c r="C407" s="115">
        <v>293</v>
      </c>
      <c r="D407" s="115"/>
      <c r="E407" s="115">
        <v>853</v>
      </c>
      <c r="F407" s="115">
        <v>293</v>
      </c>
      <c r="G407" s="122"/>
      <c r="H407" s="118">
        <f t="shared" si="29"/>
        <v>0</v>
      </c>
      <c r="I407" s="125"/>
      <c r="J407" s="125"/>
      <c r="K407" s="113"/>
      <c r="L407" s="113"/>
      <c r="M407" s="113"/>
      <c r="N407" s="113"/>
    </row>
    <row r="408" spans="1:14" s="8" customFormat="1" ht="26.25" customHeight="1">
      <c r="A408" s="142" t="s">
        <v>360</v>
      </c>
      <c r="B408" s="115"/>
      <c r="C408" s="115">
        <v>294</v>
      </c>
      <c r="D408" s="115"/>
      <c r="E408" s="115">
        <v>853</v>
      </c>
      <c r="F408" s="115">
        <v>294</v>
      </c>
      <c r="G408" s="122"/>
      <c r="H408" s="118">
        <f t="shared" si="29"/>
        <v>0</v>
      </c>
      <c r="I408" s="125"/>
      <c r="J408" s="125"/>
      <c r="K408" s="113"/>
      <c r="L408" s="113"/>
      <c r="M408" s="113"/>
      <c r="N408" s="113"/>
    </row>
    <row r="409" spans="1:14" s="8" customFormat="1" ht="18" customHeight="1">
      <c r="A409" s="142" t="s">
        <v>361</v>
      </c>
      <c r="B409" s="115"/>
      <c r="C409" s="115">
        <v>295</v>
      </c>
      <c r="D409" s="115"/>
      <c r="E409" s="115">
        <v>853</v>
      </c>
      <c r="F409" s="115">
        <v>295</v>
      </c>
      <c r="G409" s="122"/>
      <c r="H409" s="118">
        <f t="shared" si="29"/>
        <v>0</v>
      </c>
      <c r="I409" s="125"/>
      <c r="J409" s="125"/>
      <c r="K409" s="113"/>
      <c r="L409" s="113"/>
      <c r="M409" s="113"/>
      <c r="N409" s="113"/>
    </row>
    <row r="410" spans="1:14" s="8" customFormat="1" ht="18" customHeight="1">
      <c r="A410" s="142" t="s">
        <v>362</v>
      </c>
      <c r="B410" s="115"/>
      <c r="C410" s="115">
        <v>296</v>
      </c>
      <c r="D410" s="115"/>
      <c r="E410" s="115">
        <v>853</v>
      </c>
      <c r="F410" s="115">
        <v>296</v>
      </c>
      <c r="G410" s="122"/>
      <c r="H410" s="118">
        <f t="shared" si="29"/>
        <v>0</v>
      </c>
      <c r="I410" s="125"/>
      <c r="J410" s="125"/>
      <c r="K410" s="113"/>
      <c r="L410" s="113"/>
      <c r="M410" s="113"/>
      <c r="N410" s="113"/>
    </row>
    <row r="411" spans="1:14" s="8" customFormat="1" ht="18" customHeight="1">
      <c r="A411" s="142" t="s">
        <v>311</v>
      </c>
      <c r="B411" s="115">
        <v>240</v>
      </c>
      <c r="C411" s="115"/>
      <c r="D411" s="115"/>
      <c r="E411" s="115"/>
      <c r="F411" s="115"/>
      <c r="G411" s="122"/>
      <c r="H411" s="118">
        <f t="shared" si="29"/>
        <v>0</v>
      </c>
      <c r="I411" s="125"/>
      <c r="J411" s="125"/>
      <c r="K411" s="113"/>
      <c r="L411" s="113"/>
      <c r="M411" s="113"/>
      <c r="N411" s="113"/>
    </row>
    <row r="412" spans="1:14" s="8" customFormat="1" ht="28.5" customHeight="1">
      <c r="A412" s="136" t="s">
        <v>312</v>
      </c>
      <c r="B412" s="115">
        <v>250</v>
      </c>
      <c r="C412" s="115"/>
      <c r="D412" s="115"/>
      <c r="E412" s="115"/>
      <c r="F412" s="115"/>
      <c r="G412" s="122"/>
      <c r="H412" s="118">
        <f>H414+H415</f>
        <v>0</v>
      </c>
      <c r="I412" s="125">
        <f aca="true" t="shared" si="30" ref="I412:N412">I414+I415</f>
        <v>0</v>
      </c>
      <c r="J412" s="125">
        <f t="shared" si="30"/>
        <v>0</v>
      </c>
      <c r="K412" s="125">
        <f t="shared" si="30"/>
        <v>0</v>
      </c>
      <c r="L412" s="125">
        <f t="shared" si="30"/>
        <v>0</v>
      </c>
      <c r="M412" s="125">
        <f t="shared" si="30"/>
        <v>0</v>
      </c>
      <c r="N412" s="125">
        <f t="shared" si="30"/>
        <v>0</v>
      </c>
    </row>
    <row r="413" spans="1:14" s="8" customFormat="1" ht="14.25" customHeight="1">
      <c r="A413" s="142" t="s">
        <v>4</v>
      </c>
      <c r="B413" s="115"/>
      <c r="C413" s="115"/>
      <c r="D413" s="115"/>
      <c r="E413" s="115"/>
      <c r="F413" s="115"/>
      <c r="G413" s="122"/>
      <c r="H413" s="118"/>
      <c r="I413" s="125"/>
      <c r="J413" s="125"/>
      <c r="K413" s="113"/>
      <c r="L413" s="113"/>
      <c r="M413" s="113"/>
      <c r="N413" s="113"/>
    </row>
    <row r="414" spans="1:14" s="8" customFormat="1" ht="29.25" customHeight="1">
      <c r="A414" s="136" t="s">
        <v>313</v>
      </c>
      <c r="B414" s="115"/>
      <c r="C414" s="115"/>
      <c r="D414" s="115"/>
      <c r="E414" s="115"/>
      <c r="F414" s="115"/>
      <c r="G414" s="122"/>
      <c r="H414" s="118">
        <f>I414+J414+K414+L414+M414+N414</f>
        <v>0</v>
      </c>
      <c r="I414" s="125"/>
      <c r="J414" s="125"/>
      <c r="K414" s="113"/>
      <c r="L414" s="113"/>
      <c r="M414" s="113"/>
      <c r="N414" s="113"/>
    </row>
    <row r="415" spans="1:14" s="8" customFormat="1" ht="34.5" customHeight="1">
      <c r="A415" s="142" t="s">
        <v>314</v>
      </c>
      <c r="B415" s="115"/>
      <c r="C415" s="115"/>
      <c r="D415" s="115"/>
      <c r="E415" s="115"/>
      <c r="F415" s="115"/>
      <c r="G415" s="122"/>
      <c r="H415" s="118">
        <f>I415+J415+K415+L415+M415+N415</f>
        <v>0</v>
      </c>
      <c r="I415" s="125"/>
      <c r="J415" s="125"/>
      <c r="K415" s="125"/>
      <c r="L415" s="125"/>
      <c r="M415" s="125"/>
      <c r="N415" s="113"/>
    </row>
    <row r="416" spans="1:14" s="8" customFormat="1" ht="27" customHeight="1">
      <c r="A416" s="142" t="s">
        <v>315</v>
      </c>
      <c r="B416" s="115">
        <v>260</v>
      </c>
      <c r="C416" s="115"/>
      <c r="D416" s="115"/>
      <c r="E416" s="115"/>
      <c r="F416" s="115"/>
      <c r="G416" s="122"/>
      <c r="H416" s="118">
        <f>I416+J416+M416</f>
        <v>17839467.479999997</v>
      </c>
      <c r="I416" s="125">
        <f>I418+I419+I424+I443+I444+I449+I450+I456+I468+I420+I421++I445+I446+I451+I452</f>
        <v>9084426.98</v>
      </c>
      <c r="J416" s="125">
        <f>J418+J423+J424+J442+J443+J449+J455+J456+J467+J468+J481</f>
        <v>0</v>
      </c>
      <c r="K416" s="125">
        <f>K418+K423+K424+K442+K443+K449+K455+K456+K467+K468+K481</f>
        <v>0</v>
      </c>
      <c r="L416" s="125">
        <f>L418+L423+L424+L442+L443+L449+L455+L456+L467+L468+L481</f>
        <v>0</v>
      </c>
      <c r="M416" s="125">
        <f>M418+M423+M424+M442+M443+M449+M455+M456+M467+M468+M481+M422+M447+M479+M453+M448+M454+M480</f>
        <v>8755040.499999998</v>
      </c>
      <c r="N416" s="125">
        <f>N418+N423+N424+N442+N443+N449+N455+N456+N467+N468+N481</f>
        <v>0</v>
      </c>
    </row>
    <row r="417" spans="1:14" s="41" customFormat="1" ht="15.75" customHeight="1">
      <c r="A417" s="142" t="s">
        <v>4</v>
      </c>
      <c r="B417" s="148"/>
      <c r="C417" s="115"/>
      <c r="D417" s="148"/>
      <c r="E417" s="148"/>
      <c r="F417" s="115"/>
      <c r="G417" s="122"/>
      <c r="H417" s="118"/>
      <c r="I417" s="118"/>
      <c r="J417" s="118"/>
      <c r="K417" s="118"/>
      <c r="L417" s="118"/>
      <c r="M417" s="118"/>
      <c r="N417" s="118"/>
    </row>
    <row r="418" spans="1:14" s="8" customFormat="1" ht="16.5" customHeight="1">
      <c r="A418" s="142" t="s">
        <v>316</v>
      </c>
      <c r="B418" s="115"/>
      <c r="C418" s="115">
        <v>221</v>
      </c>
      <c r="D418" s="115">
        <v>800000000</v>
      </c>
      <c r="E418" s="115">
        <v>244</v>
      </c>
      <c r="F418" s="115">
        <v>221</v>
      </c>
      <c r="G418" s="102" t="s">
        <v>531</v>
      </c>
      <c r="H418" s="118">
        <f>I418+J418+M418</f>
        <v>87600</v>
      </c>
      <c r="I418" s="125">
        <f>72000+15600</f>
        <v>87600</v>
      </c>
      <c r="J418" s="125"/>
      <c r="K418" s="113"/>
      <c r="L418" s="113"/>
      <c r="M418" s="113"/>
      <c r="N418" s="113"/>
    </row>
    <row r="419" spans="1:14" s="8" customFormat="1" ht="16.5" customHeight="1">
      <c r="A419" s="142" t="s">
        <v>316</v>
      </c>
      <c r="B419" s="115"/>
      <c r="C419" s="115">
        <v>221</v>
      </c>
      <c r="D419" s="115">
        <v>800000000</v>
      </c>
      <c r="E419" s="115">
        <v>244</v>
      </c>
      <c r="F419" s="115">
        <v>221</v>
      </c>
      <c r="G419" s="102" t="s">
        <v>532</v>
      </c>
      <c r="H419" s="118">
        <f>I419+J419+M419</f>
        <v>32000.1</v>
      </c>
      <c r="I419" s="125">
        <v>32000.1</v>
      </c>
      <c r="J419" s="125"/>
      <c r="K419" s="113"/>
      <c r="L419" s="113"/>
      <c r="M419" s="113"/>
      <c r="N419" s="113"/>
    </row>
    <row r="420" spans="1:14" s="8" customFormat="1" ht="16.5" customHeight="1" hidden="1">
      <c r="A420" s="142" t="s">
        <v>316</v>
      </c>
      <c r="B420" s="487"/>
      <c r="C420" s="489">
        <v>221</v>
      </c>
      <c r="D420" s="489">
        <v>800000000</v>
      </c>
      <c r="E420" s="489">
        <v>244</v>
      </c>
      <c r="F420" s="489">
        <v>221</v>
      </c>
      <c r="G420" s="490" t="s">
        <v>531</v>
      </c>
      <c r="H420" s="491">
        <f>I420+J420+K420+L420+M420+N420</f>
        <v>0</v>
      </c>
      <c r="I420" s="486"/>
      <c r="J420" s="125"/>
      <c r="K420" s="113"/>
      <c r="L420" s="113"/>
      <c r="M420" s="113"/>
      <c r="N420" s="113"/>
    </row>
    <row r="421" spans="1:14" s="8" customFormat="1" ht="16.5" customHeight="1">
      <c r="A421" s="142" t="s">
        <v>826</v>
      </c>
      <c r="B421" s="487"/>
      <c r="C421" s="489">
        <v>221</v>
      </c>
      <c r="D421" s="489">
        <v>800000000</v>
      </c>
      <c r="E421" s="489">
        <v>244</v>
      </c>
      <c r="F421" s="489">
        <v>221</v>
      </c>
      <c r="G421" s="493" t="s">
        <v>827</v>
      </c>
      <c r="H421" s="491">
        <f>I421+J421+K421+L421+M421+N421</f>
        <v>45806.4</v>
      </c>
      <c r="I421" s="486">
        <v>45806.4</v>
      </c>
      <c r="J421" s="125"/>
      <c r="K421" s="113"/>
      <c r="L421" s="113"/>
      <c r="M421" s="113"/>
      <c r="N421" s="113"/>
    </row>
    <row r="422" spans="1:14" s="8" customFormat="1" ht="16.5" customHeight="1">
      <c r="A422" s="142" t="s">
        <v>316</v>
      </c>
      <c r="B422" s="115"/>
      <c r="C422" s="115">
        <v>221</v>
      </c>
      <c r="D422" s="116" t="s">
        <v>521</v>
      </c>
      <c r="E422" s="115">
        <v>244</v>
      </c>
      <c r="F422" s="115">
        <v>221</v>
      </c>
      <c r="G422" s="102" t="s">
        <v>533</v>
      </c>
      <c r="H422" s="118">
        <f>I422+J422+M422</f>
        <v>2909.1</v>
      </c>
      <c r="I422" s="125">
        <v>0</v>
      </c>
      <c r="J422" s="125"/>
      <c r="K422" s="113"/>
      <c r="L422" s="113"/>
      <c r="M422" s="113">
        <v>2909.1</v>
      </c>
      <c r="N422" s="113"/>
    </row>
    <row r="423" spans="1:14" s="8" customFormat="1" ht="15.75" customHeight="1">
      <c r="A423" s="142" t="s">
        <v>317</v>
      </c>
      <c r="B423" s="115"/>
      <c r="C423" s="115">
        <v>222</v>
      </c>
      <c r="D423" s="115"/>
      <c r="E423" s="115"/>
      <c r="F423" s="115">
        <v>222</v>
      </c>
      <c r="G423" s="122"/>
      <c r="H423" s="118">
        <f>I423+J423+K423+L423+M423+N423</f>
        <v>0</v>
      </c>
      <c r="I423" s="125"/>
      <c r="J423" s="125"/>
      <c r="K423" s="113"/>
      <c r="L423" s="113"/>
      <c r="M423" s="113"/>
      <c r="N423" s="113"/>
    </row>
    <row r="424" spans="1:14" s="8" customFormat="1" ht="14.25" customHeight="1">
      <c r="A424" s="142" t="s">
        <v>318</v>
      </c>
      <c r="B424" s="115"/>
      <c r="C424" s="115">
        <v>223</v>
      </c>
      <c r="D424" s="115"/>
      <c r="E424" s="115"/>
      <c r="F424" s="115">
        <v>223</v>
      </c>
      <c r="G424" s="122"/>
      <c r="H424" s="118">
        <f>I424+J424+M424</f>
        <v>3447560.04</v>
      </c>
      <c r="I424" s="125">
        <f>SUM(I426:I435)</f>
        <v>3142082.57</v>
      </c>
      <c r="J424" s="125">
        <f>J426+J429+J430+J433</f>
        <v>0</v>
      </c>
      <c r="K424" s="125">
        <f>K426+K429+K430+K433</f>
        <v>0</v>
      </c>
      <c r="L424" s="125">
        <f>L426+L429+L430+L433</f>
        <v>0</v>
      </c>
      <c r="M424" s="125">
        <f>SUM(M426:M441)</f>
        <v>305477.47000000003</v>
      </c>
      <c r="N424" s="125">
        <f>N426+N429+N430+N433</f>
        <v>0</v>
      </c>
    </row>
    <row r="425" spans="1:14" s="8" customFormat="1" ht="12.75">
      <c r="A425" s="142" t="s">
        <v>4</v>
      </c>
      <c r="B425" s="115"/>
      <c r="C425" s="115"/>
      <c r="D425" s="115"/>
      <c r="E425" s="115"/>
      <c r="F425" s="115"/>
      <c r="G425" s="122"/>
      <c r="H425" s="118"/>
      <c r="I425" s="125"/>
      <c r="J425" s="125"/>
      <c r="K425" s="113"/>
      <c r="L425" s="113"/>
      <c r="M425" s="113"/>
      <c r="N425" s="113"/>
    </row>
    <row r="426" spans="1:14" s="8" customFormat="1" ht="15" customHeight="1">
      <c r="A426" s="142" t="s">
        <v>319</v>
      </c>
      <c r="B426" s="115"/>
      <c r="C426" s="115"/>
      <c r="D426" s="115">
        <v>800000000</v>
      </c>
      <c r="E426" s="115"/>
      <c r="F426" s="115"/>
      <c r="G426" s="102" t="s">
        <v>532</v>
      </c>
      <c r="H426" s="118">
        <f aca="true" t="shared" si="31" ref="H426:H456">I426+J426+K426+L426+M426+N426</f>
        <v>1604461.97</v>
      </c>
      <c r="I426" s="125">
        <f>1246845.97+357616</f>
        <v>1604461.97</v>
      </c>
      <c r="J426" s="125"/>
      <c r="K426" s="113"/>
      <c r="L426" s="113"/>
      <c r="M426" s="113">
        <v>0</v>
      </c>
      <c r="N426" s="113"/>
    </row>
    <row r="427" spans="1:14" s="8" customFormat="1" ht="15" customHeight="1">
      <c r="A427" s="142" t="s">
        <v>319</v>
      </c>
      <c r="B427" s="487"/>
      <c r="C427" s="487">
        <v>223</v>
      </c>
      <c r="D427" s="489">
        <v>800000000</v>
      </c>
      <c r="E427" s="487">
        <v>244</v>
      </c>
      <c r="F427" s="487">
        <v>223</v>
      </c>
      <c r="G427" s="493" t="s">
        <v>827</v>
      </c>
      <c r="H427" s="491">
        <f>I427+J427+K427+L427+M427+N427</f>
        <v>459884</v>
      </c>
      <c r="I427" s="486">
        <v>459884</v>
      </c>
      <c r="J427" s="125"/>
      <c r="K427" s="113"/>
      <c r="L427" s="113"/>
      <c r="M427" s="113"/>
      <c r="N427" s="113"/>
    </row>
    <row r="428" spans="1:14" s="8" customFormat="1" ht="15" customHeight="1">
      <c r="A428" s="142" t="s">
        <v>319</v>
      </c>
      <c r="B428" s="487"/>
      <c r="C428" s="487">
        <v>223</v>
      </c>
      <c r="D428" s="489">
        <v>800000000</v>
      </c>
      <c r="E428" s="487">
        <v>244</v>
      </c>
      <c r="F428" s="487">
        <v>223</v>
      </c>
      <c r="G428" s="494" t="s">
        <v>532</v>
      </c>
      <c r="H428" s="491">
        <f>I428+J428+K428+L428+M428+N428</f>
        <v>0</v>
      </c>
      <c r="I428" s="486"/>
      <c r="J428" s="125"/>
      <c r="K428" s="113"/>
      <c r="L428" s="113"/>
      <c r="M428" s="113"/>
      <c r="N428" s="113"/>
    </row>
    <row r="429" spans="1:14" s="8" customFormat="1" ht="15" customHeight="1">
      <c r="A429" s="142" t="s">
        <v>320</v>
      </c>
      <c r="B429" s="115"/>
      <c r="C429" s="115"/>
      <c r="D429" s="115">
        <v>800000000</v>
      </c>
      <c r="E429" s="115"/>
      <c r="F429" s="115"/>
      <c r="G429" s="102" t="s">
        <v>532</v>
      </c>
      <c r="H429" s="118">
        <f t="shared" si="31"/>
        <v>0</v>
      </c>
      <c r="I429" s="125">
        <v>0</v>
      </c>
      <c r="J429" s="125"/>
      <c r="K429" s="113"/>
      <c r="L429" s="113"/>
      <c r="M429" s="113"/>
      <c r="N429" s="113"/>
    </row>
    <row r="430" spans="1:14" s="8" customFormat="1" ht="15" customHeight="1">
      <c r="A430" s="142" t="s">
        <v>321</v>
      </c>
      <c r="B430" s="115"/>
      <c r="C430" s="115"/>
      <c r="D430" s="115">
        <v>800000000</v>
      </c>
      <c r="E430" s="115"/>
      <c r="F430" s="115"/>
      <c r="G430" s="102" t="s">
        <v>532</v>
      </c>
      <c r="H430" s="118">
        <f t="shared" si="31"/>
        <v>568356.6799999999</v>
      </c>
      <c r="I430" s="125">
        <f>470359.68+97997</f>
        <v>568356.6799999999</v>
      </c>
      <c r="J430" s="125"/>
      <c r="K430" s="113"/>
      <c r="L430" s="113"/>
      <c r="M430" s="113"/>
      <c r="N430" s="113"/>
    </row>
    <row r="431" spans="1:14" s="8" customFormat="1" ht="15" customHeight="1">
      <c r="A431" s="142" t="s">
        <v>321</v>
      </c>
      <c r="B431" s="487"/>
      <c r="C431" s="487">
        <v>223</v>
      </c>
      <c r="D431" s="489">
        <v>800000000</v>
      </c>
      <c r="E431" s="487">
        <v>244</v>
      </c>
      <c r="F431" s="487">
        <v>223</v>
      </c>
      <c r="G431" s="493" t="s">
        <v>827</v>
      </c>
      <c r="H431" s="491">
        <f>I431+J431+K431+L431+M431+N431</f>
        <v>240227</v>
      </c>
      <c r="I431" s="486">
        <v>240227</v>
      </c>
      <c r="J431" s="125"/>
      <c r="K431" s="113"/>
      <c r="L431" s="113"/>
      <c r="M431" s="113"/>
      <c r="N431" s="113"/>
    </row>
    <row r="432" spans="1:14" s="8" customFormat="1" ht="15" customHeight="1">
      <c r="A432" s="142" t="s">
        <v>321</v>
      </c>
      <c r="B432" s="487"/>
      <c r="C432" s="487">
        <v>223</v>
      </c>
      <c r="D432" s="489">
        <v>800000000</v>
      </c>
      <c r="E432" s="487">
        <v>244</v>
      </c>
      <c r="F432" s="487">
        <v>223</v>
      </c>
      <c r="G432" s="494" t="s">
        <v>532</v>
      </c>
      <c r="H432" s="491">
        <f>I432+J432+K432+L432+M432+N432</f>
        <v>0</v>
      </c>
      <c r="I432" s="486"/>
      <c r="J432" s="125"/>
      <c r="K432" s="113"/>
      <c r="L432" s="113"/>
      <c r="M432" s="113"/>
      <c r="N432" s="113"/>
    </row>
    <row r="433" spans="1:14" s="8" customFormat="1" ht="15" customHeight="1">
      <c r="A433" s="142" t="s">
        <v>322</v>
      </c>
      <c r="B433" s="115"/>
      <c r="C433" s="115"/>
      <c r="D433" s="115">
        <v>800000000</v>
      </c>
      <c r="E433" s="115"/>
      <c r="F433" s="115"/>
      <c r="G433" s="102" t="s">
        <v>532</v>
      </c>
      <c r="H433" s="118">
        <f t="shared" si="31"/>
        <v>148192.91999999998</v>
      </c>
      <c r="I433" s="125">
        <f>125152.92+23040</f>
        <v>148192.91999999998</v>
      </c>
      <c r="J433" s="125"/>
      <c r="K433" s="113"/>
      <c r="L433" s="113"/>
      <c r="M433" s="113"/>
      <c r="N433" s="113"/>
    </row>
    <row r="434" spans="1:14" s="8" customFormat="1" ht="15" customHeight="1">
      <c r="A434" s="142" t="s">
        <v>322</v>
      </c>
      <c r="B434" s="487"/>
      <c r="C434" s="487">
        <v>223</v>
      </c>
      <c r="D434" s="489">
        <v>800000000</v>
      </c>
      <c r="E434" s="487">
        <v>244</v>
      </c>
      <c r="F434" s="487">
        <v>223</v>
      </c>
      <c r="G434" s="493" t="s">
        <v>827</v>
      </c>
      <c r="H434" s="491">
        <f>I434+J434+K434+L434+M434+N434</f>
        <v>120960</v>
      </c>
      <c r="I434" s="486">
        <v>120960</v>
      </c>
      <c r="J434" s="125"/>
      <c r="K434" s="113"/>
      <c r="L434" s="113"/>
      <c r="M434" s="113"/>
      <c r="N434" s="113"/>
    </row>
    <row r="435" spans="1:14" s="8" customFormat="1" ht="15" customHeight="1">
      <c r="A435" s="142" t="s">
        <v>322</v>
      </c>
      <c r="B435" s="487"/>
      <c r="C435" s="487">
        <v>223</v>
      </c>
      <c r="D435" s="489">
        <v>800000000</v>
      </c>
      <c r="E435" s="487">
        <v>244</v>
      </c>
      <c r="F435" s="487">
        <v>223</v>
      </c>
      <c r="G435" s="494" t="s">
        <v>532</v>
      </c>
      <c r="H435" s="491">
        <f>I435+J435+K435+L435+M435+N435</f>
        <v>0</v>
      </c>
      <c r="I435" s="486"/>
      <c r="J435" s="125"/>
      <c r="K435" s="113"/>
      <c r="L435" s="113"/>
      <c r="M435" s="113"/>
      <c r="N435" s="113"/>
    </row>
    <row r="436" spans="1:14" s="8" customFormat="1" ht="15" customHeight="1">
      <c r="A436" s="142" t="s">
        <v>319</v>
      </c>
      <c r="B436" s="115"/>
      <c r="C436" s="115"/>
      <c r="D436" s="116" t="s">
        <v>521</v>
      </c>
      <c r="E436" s="115"/>
      <c r="F436" s="115"/>
      <c r="G436" s="102" t="s">
        <v>533</v>
      </c>
      <c r="H436" s="118">
        <f t="shared" si="31"/>
        <v>71801.35</v>
      </c>
      <c r="I436" s="125">
        <v>0</v>
      </c>
      <c r="J436" s="125"/>
      <c r="K436" s="113"/>
      <c r="L436" s="113"/>
      <c r="M436" s="113">
        <f>9301.35+62500</f>
        <v>71801.35</v>
      </c>
      <c r="N436" s="113"/>
    </row>
    <row r="437" spans="1:14" s="8" customFormat="1" ht="15" customHeight="1" hidden="1">
      <c r="A437" s="142" t="s">
        <v>319</v>
      </c>
      <c r="B437" s="487"/>
      <c r="C437" s="487">
        <v>223</v>
      </c>
      <c r="D437" s="488" t="s">
        <v>521</v>
      </c>
      <c r="E437" s="487">
        <v>244</v>
      </c>
      <c r="F437" s="487">
        <v>223</v>
      </c>
      <c r="G437" s="494" t="s">
        <v>533</v>
      </c>
      <c r="H437" s="491">
        <f>I437+J437+K437+L437+M437+N437</f>
        <v>0</v>
      </c>
      <c r="I437" s="485">
        <v>0</v>
      </c>
      <c r="J437" s="485">
        <v>0</v>
      </c>
      <c r="K437" s="499">
        <v>0</v>
      </c>
      <c r="L437" s="499">
        <v>0</v>
      </c>
      <c r="M437" s="497"/>
      <c r="N437" s="113"/>
    </row>
    <row r="438" spans="1:14" s="8" customFormat="1" ht="15" customHeight="1">
      <c r="A438" s="142" t="s">
        <v>321</v>
      </c>
      <c r="B438" s="115"/>
      <c r="C438" s="115"/>
      <c r="D438" s="116" t="s">
        <v>521</v>
      </c>
      <c r="E438" s="115"/>
      <c r="F438" s="115"/>
      <c r="G438" s="102" t="s">
        <v>533</v>
      </c>
      <c r="H438" s="118">
        <f t="shared" si="31"/>
        <v>175138.88</v>
      </c>
      <c r="I438" s="125">
        <v>0</v>
      </c>
      <c r="J438" s="125"/>
      <c r="K438" s="113"/>
      <c r="L438" s="113"/>
      <c r="M438" s="113">
        <f>143362.88+31776</f>
        <v>175138.88</v>
      </c>
      <c r="N438" s="113"/>
    </row>
    <row r="439" spans="1:14" s="8" customFormat="1" ht="15" customHeight="1" hidden="1">
      <c r="A439" s="142" t="s">
        <v>321</v>
      </c>
      <c r="B439" s="487"/>
      <c r="C439" s="487">
        <v>223</v>
      </c>
      <c r="D439" s="488" t="s">
        <v>521</v>
      </c>
      <c r="E439" s="487">
        <v>244</v>
      </c>
      <c r="F439" s="487">
        <v>223</v>
      </c>
      <c r="G439" s="494" t="s">
        <v>533</v>
      </c>
      <c r="H439" s="491">
        <f>I439+J439+K439+L439+M439+N439</f>
        <v>0</v>
      </c>
      <c r="I439" s="485">
        <v>0</v>
      </c>
      <c r="J439" s="485">
        <v>0</v>
      </c>
      <c r="K439" s="499">
        <v>0</v>
      </c>
      <c r="L439" s="499">
        <v>0</v>
      </c>
      <c r="M439" s="497"/>
      <c r="N439" s="113"/>
    </row>
    <row r="440" spans="1:14" s="8" customFormat="1" ht="15" customHeight="1">
      <c r="A440" s="142" t="s">
        <v>322</v>
      </c>
      <c r="B440" s="115"/>
      <c r="C440" s="115"/>
      <c r="D440" s="116" t="s">
        <v>521</v>
      </c>
      <c r="E440" s="115"/>
      <c r="F440" s="115"/>
      <c r="G440" s="102" t="s">
        <v>533</v>
      </c>
      <c r="H440" s="118">
        <f t="shared" si="31"/>
        <v>58537.24</v>
      </c>
      <c r="I440" s="125">
        <v>0</v>
      </c>
      <c r="J440" s="125"/>
      <c r="K440" s="113"/>
      <c r="L440" s="113"/>
      <c r="M440" s="113">
        <f>42537.24+16000</f>
        <v>58537.24</v>
      </c>
      <c r="N440" s="113"/>
    </row>
    <row r="441" spans="1:14" s="8" customFormat="1" ht="15" customHeight="1" hidden="1">
      <c r="A441" s="142" t="s">
        <v>322</v>
      </c>
      <c r="B441" s="487"/>
      <c r="C441" s="487">
        <v>223</v>
      </c>
      <c r="D441" s="488" t="s">
        <v>521</v>
      </c>
      <c r="E441" s="487">
        <v>244</v>
      </c>
      <c r="F441" s="487">
        <v>223</v>
      </c>
      <c r="G441" s="494" t="s">
        <v>533</v>
      </c>
      <c r="H441" s="491">
        <f>I441+J441+K441+L441+M441+N441</f>
        <v>0</v>
      </c>
      <c r="I441" s="485">
        <v>0</v>
      </c>
      <c r="J441" s="485">
        <v>0</v>
      </c>
      <c r="K441" s="499">
        <v>0</v>
      </c>
      <c r="L441" s="499">
        <v>0</v>
      </c>
      <c r="M441" s="497"/>
      <c r="N441" s="113"/>
    </row>
    <row r="442" spans="1:14" s="8" customFormat="1" ht="15" customHeight="1">
      <c r="A442" s="142" t="s">
        <v>323</v>
      </c>
      <c r="B442" s="115"/>
      <c r="C442" s="115">
        <v>224</v>
      </c>
      <c r="D442" s="115"/>
      <c r="E442" s="115"/>
      <c r="F442" s="115">
        <v>224</v>
      </c>
      <c r="G442" s="122"/>
      <c r="H442" s="118">
        <f t="shared" si="31"/>
        <v>0</v>
      </c>
      <c r="I442" s="125">
        <v>0</v>
      </c>
      <c r="J442" s="125"/>
      <c r="K442" s="113"/>
      <c r="L442" s="113"/>
      <c r="M442" s="113"/>
      <c r="N442" s="113"/>
    </row>
    <row r="443" spans="1:14" s="8" customFormat="1" ht="15" customHeight="1">
      <c r="A443" s="142" t="s">
        <v>324</v>
      </c>
      <c r="B443" s="115"/>
      <c r="C443" s="115">
        <v>225</v>
      </c>
      <c r="D443" s="115">
        <v>800000000</v>
      </c>
      <c r="E443" s="115"/>
      <c r="F443" s="115">
        <v>225</v>
      </c>
      <c r="G443" s="102" t="s">
        <v>531</v>
      </c>
      <c r="H443" s="118">
        <f t="shared" si="31"/>
        <v>132945.86</v>
      </c>
      <c r="I443" s="125">
        <v>132945.86</v>
      </c>
      <c r="J443" s="125"/>
      <c r="K443" s="113"/>
      <c r="L443" s="113"/>
      <c r="M443" s="113"/>
      <c r="N443" s="113"/>
    </row>
    <row r="444" spans="1:14" s="8" customFormat="1" ht="15" customHeight="1">
      <c r="A444" s="142" t="s">
        <v>324</v>
      </c>
      <c r="B444" s="115"/>
      <c r="C444" s="115">
        <v>225</v>
      </c>
      <c r="D444" s="115">
        <v>800000000</v>
      </c>
      <c r="E444" s="115"/>
      <c r="F444" s="115">
        <v>225</v>
      </c>
      <c r="G444" s="102" t="s">
        <v>532</v>
      </c>
      <c r="H444" s="118">
        <f t="shared" si="31"/>
        <v>2352681.11</v>
      </c>
      <c r="I444" s="125">
        <f>2200842.68+69364.53+82473.9</f>
        <v>2352681.11</v>
      </c>
      <c r="J444" s="125"/>
      <c r="K444" s="113"/>
      <c r="L444" s="113"/>
      <c r="M444" s="113"/>
      <c r="N444" s="113"/>
    </row>
    <row r="445" spans="1:14" s="8" customFormat="1" ht="15" customHeight="1">
      <c r="A445" s="142" t="s">
        <v>324</v>
      </c>
      <c r="B445" s="487"/>
      <c r="C445" s="487">
        <v>225</v>
      </c>
      <c r="D445" s="489">
        <v>800000000</v>
      </c>
      <c r="E445" s="487">
        <v>244</v>
      </c>
      <c r="F445" s="487">
        <v>225</v>
      </c>
      <c r="G445" s="493" t="s">
        <v>827</v>
      </c>
      <c r="H445" s="491">
        <f>I445+J445+K445+L445+M445+N445</f>
        <v>432987.99</v>
      </c>
      <c r="I445" s="486">
        <v>432987.99</v>
      </c>
      <c r="J445" s="125"/>
      <c r="K445" s="113"/>
      <c r="L445" s="113"/>
      <c r="M445" s="113"/>
      <c r="N445" s="113"/>
    </row>
    <row r="446" spans="1:14" s="8" customFormat="1" ht="15" customHeight="1">
      <c r="A446" s="142" t="s">
        <v>324</v>
      </c>
      <c r="B446" s="487"/>
      <c r="C446" s="487">
        <v>225</v>
      </c>
      <c r="D446" s="489">
        <v>800000000</v>
      </c>
      <c r="E446" s="487">
        <v>244</v>
      </c>
      <c r="F446" s="487">
        <v>225</v>
      </c>
      <c r="G446" s="494" t="s">
        <v>532</v>
      </c>
      <c r="H446" s="491">
        <f>I446+J446+K446+L446+M446+N446</f>
        <v>0</v>
      </c>
      <c r="I446" s="486"/>
      <c r="J446" s="125"/>
      <c r="K446" s="113"/>
      <c r="L446" s="113"/>
      <c r="M446" s="113"/>
      <c r="N446" s="113"/>
    </row>
    <row r="447" spans="1:14" s="8" customFormat="1" ht="15" customHeight="1">
      <c r="A447" s="142" t="s">
        <v>324</v>
      </c>
      <c r="B447" s="115"/>
      <c r="C447" s="115">
        <v>225</v>
      </c>
      <c r="D447" s="116" t="s">
        <v>521</v>
      </c>
      <c r="E447" s="115"/>
      <c r="F447" s="115">
        <v>225</v>
      </c>
      <c r="G447" s="102" t="s">
        <v>533</v>
      </c>
      <c r="H447" s="118">
        <f t="shared" si="31"/>
        <v>2930347.3499999996</v>
      </c>
      <c r="I447" s="125">
        <v>0</v>
      </c>
      <c r="J447" s="125"/>
      <c r="K447" s="113"/>
      <c r="L447" s="113"/>
      <c r="M447" s="113">
        <f>2600998.63+33943.32+295405.4</f>
        <v>2930347.3499999996</v>
      </c>
      <c r="N447" s="113"/>
    </row>
    <row r="448" spans="1:14" s="8" customFormat="1" ht="15" customHeight="1">
      <c r="A448" s="142" t="s">
        <v>324</v>
      </c>
      <c r="B448" s="487"/>
      <c r="C448" s="487">
        <v>225</v>
      </c>
      <c r="D448" s="488" t="s">
        <v>521</v>
      </c>
      <c r="E448" s="487">
        <v>244</v>
      </c>
      <c r="F448" s="487">
        <v>225</v>
      </c>
      <c r="G448" s="494" t="s">
        <v>533</v>
      </c>
      <c r="H448" s="491">
        <f>I448+J448+K448+L448+M448+N448</f>
        <v>0</v>
      </c>
      <c r="I448" s="485">
        <v>0</v>
      </c>
      <c r="J448" s="485">
        <v>0</v>
      </c>
      <c r="K448" s="499">
        <v>0</v>
      </c>
      <c r="L448" s="499">
        <v>0</v>
      </c>
      <c r="M448" s="497"/>
      <c r="N448" s="113"/>
    </row>
    <row r="449" spans="1:14" s="8" customFormat="1" ht="15" customHeight="1">
      <c r="A449" s="142" t="s">
        <v>325</v>
      </c>
      <c r="B449" s="115"/>
      <c r="C449" s="115">
        <v>310</v>
      </c>
      <c r="D449" s="115">
        <v>800000000</v>
      </c>
      <c r="E449" s="115"/>
      <c r="F449" s="115">
        <v>310</v>
      </c>
      <c r="G449" s="102" t="s">
        <v>531</v>
      </c>
      <c r="H449" s="118">
        <f t="shared" si="31"/>
        <v>511217</v>
      </c>
      <c r="I449" s="125">
        <f>450000+61217</f>
        <v>511217</v>
      </c>
      <c r="J449" s="125"/>
      <c r="K449" s="113"/>
      <c r="L449" s="113"/>
      <c r="M449" s="113"/>
      <c r="N449" s="113"/>
    </row>
    <row r="450" spans="1:14" s="8" customFormat="1" ht="15" customHeight="1">
      <c r="A450" s="142" t="s">
        <v>325</v>
      </c>
      <c r="B450" s="115"/>
      <c r="C450" s="115">
        <v>310</v>
      </c>
      <c r="D450" s="115">
        <v>800000000</v>
      </c>
      <c r="E450" s="115"/>
      <c r="F450" s="115">
        <v>310</v>
      </c>
      <c r="G450" s="102" t="s">
        <v>532</v>
      </c>
      <c r="H450" s="118">
        <f t="shared" si="31"/>
        <v>262999.9</v>
      </c>
      <c r="I450" s="125">
        <v>262999.9</v>
      </c>
      <c r="J450" s="125"/>
      <c r="K450" s="113"/>
      <c r="L450" s="113"/>
      <c r="M450" s="113"/>
      <c r="N450" s="113"/>
    </row>
    <row r="451" spans="1:14" s="8" customFormat="1" ht="15" customHeight="1">
      <c r="A451" s="142" t="s">
        <v>325</v>
      </c>
      <c r="B451" s="487"/>
      <c r="C451" s="487">
        <v>310</v>
      </c>
      <c r="D451" s="489">
        <v>800000000</v>
      </c>
      <c r="E451" s="487">
        <v>244</v>
      </c>
      <c r="F451" s="487">
        <v>310</v>
      </c>
      <c r="G451" s="490" t="s">
        <v>535</v>
      </c>
      <c r="H451" s="491">
        <f>I451+J451+K451+L451+M451+N451</f>
        <v>194426</v>
      </c>
      <c r="I451" s="495">
        <v>194426</v>
      </c>
      <c r="J451" s="125"/>
      <c r="K451" s="113"/>
      <c r="L451" s="113"/>
      <c r="M451" s="113"/>
      <c r="N451" s="113"/>
    </row>
    <row r="452" spans="1:14" s="8" customFormat="1" ht="15" customHeight="1">
      <c r="A452" s="142" t="s">
        <v>325</v>
      </c>
      <c r="B452" s="487"/>
      <c r="C452" s="487">
        <v>310</v>
      </c>
      <c r="D452" s="489">
        <v>800000000</v>
      </c>
      <c r="E452" s="487">
        <v>244</v>
      </c>
      <c r="F452" s="487">
        <v>310</v>
      </c>
      <c r="G452" s="490" t="s">
        <v>531</v>
      </c>
      <c r="H452" s="491">
        <f>I452+J452+K452+L452+M452+N452</f>
        <v>0</v>
      </c>
      <c r="I452" s="486"/>
      <c r="J452" s="125"/>
      <c r="K452" s="113"/>
      <c r="L452" s="113"/>
      <c r="M452" s="113"/>
      <c r="N452" s="113"/>
    </row>
    <row r="453" spans="1:14" s="8" customFormat="1" ht="15" customHeight="1">
      <c r="A453" s="142" t="s">
        <v>325</v>
      </c>
      <c r="B453" s="115"/>
      <c r="C453" s="115">
        <v>310</v>
      </c>
      <c r="D453" s="116" t="s">
        <v>521</v>
      </c>
      <c r="E453" s="115"/>
      <c r="F453" s="115">
        <v>310</v>
      </c>
      <c r="G453" s="102" t="s">
        <v>533</v>
      </c>
      <c r="H453" s="118">
        <f t="shared" si="31"/>
        <v>204248</v>
      </c>
      <c r="I453" s="125">
        <v>0</v>
      </c>
      <c r="J453" s="125"/>
      <c r="K453" s="113"/>
      <c r="L453" s="113"/>
      <c r="M453" s="113">
        <f>104248+100000</f>
        <v>204248</v>
      </c>
      <c r="N453" s="113"/>
    </row>
    <row r="454" spans="1:14" s="8" customFormat="1" ht="15" customHeight="1" hidden="1">
      <c r="A454" s="142" t="s">
        <v>325</v>
      </c>
      <c r="B454" s="487"/>
      <c r="C454" s="487">
        <v>310</v>
      </c>
      <c r="D454" s="488" t="s">
        <v>521</v>
      </c>
      <c r="E454" s="487">
        <v>244</v>
      </c>
      <c r="F454" s="487">
        <v>310</v>
      </c>
      <c r="G454" s="494" t="s">
        <v>533</v>
      </c>
      <c r="H454" s="491">
        <f>I454+J454+K454+L454+M454+N454</f>
        <v>0</v>
      </c>
      <c r="I454" s="485">
        <v>0</v>
      </c>
      <c r="J454" s="485">
        <v>0</v>
      </c>
      <c r="K454" s="499">
        <v>0</v>
      </c>
      <c r="L454" s="499">
        <v>0</v>
      </c>
      <c r="M454" s="497"/>
      <c r="N454" s="113"/>
    </row>
    <row r="455" spans="1:14" s="8" customFormat="1" ht="15" customHeight="1">
      <c r="A455" s="142" t="s">
        <v>326</v>
      </c>
      <c r="B455" s="115"/>
      <c r="C455" s="115">
        <v>320</v>
      </c>
      <c r="D455" s="115"/>
      <c r="E455" s="115"/>
      <c r="F455" s="115">
        <v>320</v>
      </c>
      <c r="G455" s="122"/>
      <c r="H455" s="118">
        <f t="shared" si="31"/>
        <v>0</v>
      </c>
      <c r="I455" s="125">
        <v>0</v>
      </c>
      <c r="J455" s="125"/>
      <c r="K455" s="113"/>
      <c r="L455" s="113"/>
      <c r="M455" s="113"/>
      <c r="N455" s="113"/>
    </row>
    <row r="456" spans="1:14" s="8" customFormat="1" ht="15" customHeight="1">
      <c r="A456" s="142" t="s">
        <v>327</v>
      </c>
      <c r="B456" s="115"/>
      <c r="C456" s="115">
        <v>340</v>
      </c>
      <c r="D456" s="115"/>
      <c r="E456" s="115"/>
      <c r="F456" s="115">
        <v>340</v>
      </c>
      <c r="G456" s="122"/>
      <c r="H456" s="118">
        <f t="shared" si="31"/>
        <v>5014408.15</v>
      </c>
      <c r="I456" s="125">
        <f>I457+I458+I459+I460+I462+I463+I464</f>
        <v>654364.15</v>
      </c>
      <c r="J456" s="125">
        <f>J457+J458+J459+J460+J462</f>
        <v>0</v>
      </c>
      <c r="K456" s="125">
        <f>K457+K458+K459+K460+K462</f>
        <v>0</v>
      </c>
      <c r="L456" s="125">
        <f>L457+L458+L459+L460+L462</f>
        <v>0</v>
      </c>
      <c r="M456" s="125">
        <f>M457+M458+M459+M460++M461+M465+M466</f>
        <v>4360044</v>
      </c>
      <c r="N456" s="125">
        <f>N457+N458+N459+N460+N462</f>
        <v>0</v>
      </c>
    </row>
    <row r="457" spans="1:14" s="8" customFormat="1" ht="15" customHeight="1">
      <c r="A457" s="142" t="s">
        <v>4</v>
      </c>
      <c r="B457" s="115"/>
      <c r="C457" s="115"/>
      <c r="D457" s="115"/>
      <c r="E457" s="115"/>
      <c r="F457" s="115"/>
      <c r="G457" s="122"/>
      <c r="H457" s="118"/>
      <c r="I457" s="125"/>
      <c r="J457" s="125"/>
      <c r="K457" s="113"/>
      <c r="L457" s="113"/>
      <c r="M457" s="113"/>
      <c r="N457" s="113"/>
    </row>
    <row r="458" spans="1:14" s="8" customFormat="1" ht="15" customHeight="1">
      <c r="A458" s="142" t="s">
        <v>328</v>
      </c>
      <c r="B458" s="487"/>
      <c r="C458" s="487">
        <v>340</v>
      </c>
      <c r="D458" s="489">
        <v>800000000</v>
      </c>
      <c r="E458" s="487">
        <v>244</v>
      </c>
      <c r="F458" s="487">
        <v>341</v>
      </c>
      <c r="G458" s="493" t="s">
        <v>827</v>
      </c>
      <c r="H458" s="491">
        <f aca="true" t="shared" si="32" ref="H458:H466">I458+J458+K458+L458+M458+N458</f>
        <v>7000</v>
      </c>
      <c r="I458" s="486">
        <v>7000</v>
      </c>
      <c r="J458" s="125"/>
      <c r="K458" s="113"/>
      <c r="L458" s="113"/>
      <c r="M458" s="113"/>
      <c r="N458" s="113"/>
    </row>
    <row r="459" spans="1:14" s="8" customFormat="1" ht="15" customHeight="1">
      <c r="A459" s="142" t="s">
        <v>329</v>
      </c>
      <c r="B459" s="487"/>
      <c r="C459" s="487">
        <v>340</v>
      </c>
      <c r="D459" s="489">
        <v>800000000</v>
      </c>
      <c r="E459" s="487">
        <v>244</v>
      </c>
      <c r="F459" s="487">
        <v>342</v>
      </c>
      <c r="G459" s="493" t="s">
        <v>827</v>
      </c>
      <c r="H459" s="491">
        <f t="shared" si="32"/>
        <v>437421.05</v>
      </c>
      <c r="I459" s="486">
        <v>437421.05</v>
      </c>
      <c r="J459" s="125"/>
      <c r="K459" s="113"/>
      <c r="L459" s="113"/>
      <c r="M459" s="113"/>
      <c r="N459" s="113"/>
    </row>
    <row r="460" spans="1:14" s="8" customFormat="1" ht="15" customHeight="1">
      <c r="A460" s="142" t="s">
        <v>330</v>
      </c>
      <c r="B460" s="115"/>
      <c r="C460" s="115">
        <v>340</v>
      </c>
      <c r="D460" s="115">
        <v>800000000</v>
      </c>
      <c r="E460" s="115">
        <v>244</v>
      </c>
      <c r="F460" s="115">
        <v>346</v>
      </c>
      <c r="G460" s="102" t="s">
        <v>532</v>
      </c>
      <c r="H460" s="118">
        <f t="shared" si="32"/>
        <v>200597.04</v>
      </c>
      <c r="I460" s="125">
        <f>124943.1+75653.94</f>
        <v>200597.04</v>
      </c>
      <c r="J460" s="125"/>
      <c r="K460" s="113"/>
      <c r="L460" s="113"/>
      <c r="M460" s="113"/>
      <c r="N460" s="113"/>
    </row>
    <row r="461" spans="1:14" s="8" customFormat="1" ht="15" customHeight="1">
      <c r="A461" s="142" t="s">
        <v>329</v>
      </c>
      <c r="B461" s="487"/>
      <c r="C461" s="487">
        <v>340</v>
      </c>
      <c r="D461" s="488" t="s">
        <v>521</v>
      </c>
      <c r="E461" s="487">
        <v>244</v>
      </c>
      <c r="F461" s="487">
        <v>342</v>
      </c>
      <c r="G461" s="494" t="s">
        <v>533</v>
      </c>
      <c r="H461" s="491">
        <f t="shared" si="32"/>
        <v>4230044</v>
      </c>
      <c r="I461" s="485">
        <v>0</v>
      </c>
      <c r="J461" s="485">
        <v>0</v>
      </c>
      <c r="K461" s="499">
        <v>0</v>
      </c>
      <c r="L461" s="499">
        <v>0</v>
      </c>
      <c r="M461" s="496">
        <v>4230044</v>
      </c>
      <c r="N461" s="113"/>
    </row>
    <row r="462" spans="1:14" s="8" customFormat="1" ht="15" customHeight="1">
      <c r="A462" s="142" t="s">
        <v>331</v>
      </c>
      <c r="B462" s="115"/>
      <c r="C462" s="115"/>
      <c r="D462" s="115"/>
      <c r="E462" s="115"/>
      <c r="F462" s="115"/>
      <c r="G462" s="122"/>
      <c r="H462" s="118">
        <f t="shared" si="32"/>
        <v>0</v>
      </c>
      <c r="I462" s="125">
        <v>0</v>
      </c>
      <c r="J462" s="125"/>
      <c r="K462" s="113"/>
      <c r="L462" s="113"/>
      <c r="M462" s="113"/>
      <c r="N462" s="113"/>
    </row>
    <row r="463" spans="1:14" s="8" customFormat="1" ht="15" customHeight="1">
      <c r="A463" s="142" t="s">
        <v>330</v>
      </c>
      <c r="B463" s="487"/>
      <c r="C463" s="487">
        <v>340</v>
      </c>
      <c r="D463" s="489">
        <v>800000000</v>
      </c>
      <c r="E463" s="487">
        <v>244</v>
      </c>
      <c r="F463" s="487">
        <v>346</v>
      </c>
      <c r="G463" s="493" t="s">
        <v>827</v>
      </c>
      <c r="H463" s="491">
        <f t="shared" si="32"/>
        <v>9346.06</v>
      </c>
      <c r="I463" s="486">
        <v>9346.06</v>
      </c>
      <c r="J463" s="125"/>
      <c r="K463" s="113"/>
      <c r="L463" s="113"/>
      <c r="M463" s="113"/>
      <c r="N463" s="113"/>
    </row>
    <row r="464" spans="1:14" s="8" customFormat="1" ht="15" customHeight="1" hidden="1">
      <c r="A464" s="142" t="s">
        <v>330</v>
      </c>
      <c r="B464" s="487"/>
      <c r="C464" s="487">
        <v>340</v>
      </c>
      <c r="D464" s="489">
        <v>800000000</v>
      </c>
      <c r="E464" s="487">
        <v>244</v>
      </c>
      <c r="F464" s="487">
        <v>346</v>
      </c>
      <c r="G464" s="494" t="s">
        <v>532</v>
      </c>
      <c r="H464" s="491">
        <f t="shared" si="32"/>
        <v>0</v>
      </c>
      <c r="I464" s="486"/>
      <c r="J464" s="125"/>
      <c r="K464" s="113"/>
      <c r="L464" s="113"/>
      <c r="M464" s="113"/>
      <c r="N464" s="113"/>
    </row>
    <row r="465" spans="1:14" s="8" customFormat="1" ht="15" customHeight="1">
      <c r="A465" s="142" t="s">
        <v>848</v>
      </c>
      <c r="B465" s="487"/>
      <c r="C465" s="487">
        <v>340</v>
      </c>
      <c r="D465" s="488" t="s">
        <v>521</v>
      </c>
      <c r="E465" s="487">
        <v>244</v>
      </c>
      <c r="F465" s="487">
        <v>345</v>
      </c>
      <c r="G465" s="494" t="s">
        <v>533</v>
      </c>
      <c r="H465" s="491">
        <f t="shared" si="32"/>
        <v>100000</v>
      </c>
      <c r="I465" s="485">
        <v>0</v>
      </c>
      <c r="J465" s="485">
        <v>0</v>
      </c>
      <c r="K465" s="499">
        <v>0</v>
      </c>
      <c r="L465" s="499">
        <v>0</v>
      </c>
      <c r="M465" s="496">
        <v>100000</v>
      </c>
      <c r="N465" s="113"/>
    </row>
    <row r="466" spans="1:14" s="8" customFormat="1" ht="15" customHeight="1">
      <c r="A466" s="142" t="s">
        <v>330</v>
      </c>
      <c r="B466" s="487"/>
      <c r="C466" s="487">
        <v>340</v>
      </c>
      <c r="D466" s="488" t="s">
        <v>521</v>
      </c>
      <c r="E466" s="487">
        <v>244</v>
      </c>
      <c r="F466" s="487">
        <v>346</v>
      </c>
      <c r="G466" s="494" t="s">
        <v>533</v>
      </c>
      <c r="H466" s="491">
        <f t="shared" si="32"/>
        <v>30000</v>
      </c>
      <c r="I466" s="485">
        <v>0</v>
      </c>
      <c r="J466" s="485">
        <v>0</v>
      </c>
      <c r="K466" s="499">
        <v>0</v>
      </c>
      <c r="L466" s="499">
        <v>0</v>
      </c>
      <c r="M466" s="496">
        <v>30000</v>
      </c>
      <c r="N466" s="113"/>
    </row>
    <row r="467" spans="1:14" s="8" customFormat="1" ht="17.25" customHeight="1">
      <c r="A467" s="142" t="s">
        <v>332</v>
      </c>
      <c r="B467" s="115"/>
      <c r="C467" s="115">
        <v>530</v>
      </c>
      <c r="D467" s="115"/>
      <c r="E467" s="115">
        <v>465</v>
      </c>
      <c r="F467" s="115">
        <v>530</v>
      </c>
      <c r="G467" s="122"/>
      <c r="H467" s="118"/>
      <c r="I467" s="125"/>
      <c r="J467" s="125"/>
      <c r="K467" s="113"/>
      <c r="L467" s="113"/>
      <c r="M467" s="113"/>
      <c r="N467" s="113"/>
    </row>
    <row r="468" spans="1:14" s="8" customFormat="1" ht="17.25" customHeight="1">
      <c r="A468" s="142" t="s">
        <v>333</v>
      </c>
      <c r="B468" s="115"/>
      <c r="C468" s="115">
        <v>226</v>
      </c>
      <c r="D468" s="115">
        <v>800000000</v>
      </c>
      <c r="E468" s="115">
        <v>244</v>
      </c>
      <c r="F468" s="115">
        <v>226</v>
      </c>
      <c r="G468" s="122"/>
      <c r="H468" s="118">
        <f>I468+J468+K468+L468+M468+N468</f>
        <v>1235315.9</v>
      </c>
      <c r="I468" s="125">
        <f>SUM(I470:I478)</f>
        <v>1235315.9</v>
      </c>
      <c r="J468" s="125">
        <f>J470+J471+J472</f>
        <v>0</v>
      </c>
      <c r="K468" s="125">
        <f>K470+K471+K472</f>
        <v>0</v>
      </c>
      <c r="L468" s="125">
        <f>L470+L471+L472</f>
        <v>0</v>
      </c>
      <c r="M468" s="125">
        <f>M470+M471+M472</f>
        <v>0</v>
      </c>
      <c r="N468" s="125">
        <f>N470+N471+N472</f>
        <v>0</v>
      </c>
    </row>
    <row r="469" spans="1:14" s="8" customFormat="1" ht="17.25" customHeight="1">
      <c r="A469" s="142" t="s">
        <v>4</v>
      </c>
      <c r="B469" s="115"/>
      <c r="C469" s="115"/>
      <c r="D469" s="115"/>
      <c r="E469" s="115"/>
      <c r="F469" s="115"/>
      <c r="G469" s="122"/>
      <c r="H469" s="118"/>
      <c r="I469" s="125"/>
      <c r="J469" s="125"/>
      <c r="K469" s="113"/>
      <c r="L469" s="113"/>
      <c r="M469" s="113"/>
      <c r="N469" s="113"/>
    </row>
    <row r="470" spans="1:14" s="8" customFormat="1" ht="17.25" customHeight="1">
      <c r="A470" s="142" t="s">
        <v>334</v>
      </c>
      <c r="B470" s="115"/>
      <c r="C470" s="115"/>
      <c r="D470" s="115"/>
      <c r="E470" s="115"/>
      <c r="F470" s="115"/>
      <c r="G470" s="122"/>
      <c r="H470" s="118">
        <f aca="true" t="shared" si="33" ref="H470:H481">I470+J470+K470+L470+M470+N470</f>
        <v>0</v>
      </c>
      <c r="I470" s="125"/>
      <c r="J470" s="125"/>
      <c r="K470" s="113"/>
      <c r="L470" s="113"/>
      <c r="M470" s="113"/>
      <c r="N470" s="113"/>
    </row>
    <row r="471" spans="1:14" s="8" customFormat="1" ht="28.5" customHeight="1">
      <c r="A471" s="142" t="s">
        <v>335</v>
      </c>
      <c r="B471" s="115"/>
      <c r="C471" s="115"/>
      <c r="D471" s="115"/>
      <c r="E471" s="115"/>
      <c r="F471" s="115"/>
      <c r="G471" s="122"/>
      <c r="H471" s="118">
        <f t="shared" si="33"/>
        <v>0</v>
      </c>
      <c r="I471" s="125"/>
      <c r="J471" s="125"/>
      <c r="K471" s="113"/>
      <c r="L471" s="113"/>
      <c r="M471" s="113"/>
      <c r="N471" s="113"/>
    </row>
    <row r="472" spans="1:14" s="8" customFormat="1" ht="17.25" customHeight="1">
      <c r="A472" s="142" t="s">
        <v>336</v>
      </c>
      <c r="B472" s="115"/>
      <c r="C472" s="115">
        <v>226</v>
      </c>
      <c r="D472" s="115">
        <v>800000000</v>
      </c>
      <c r="E472" s="115">
        <v>244</v>
      </c>
      <c r="F472" s="115">
        <v>226</v>
      </c>
      <c r="G472" s="102" t="s">
        <v>531</v>
      </c>
      <c r="H472" s="118">
        <f t="shared" si="33"/>
        <v>105269</v>
      </c>
      <c r="I472" s="125">
        <f>101269+4000</f>
        <v>105269</v>
      </c>
      <c r="J472" s="125"/>
      <c r="K472" s="113"/>
      <c r="L472" s="113"/>
      <c r="M472" s="113"/>
      <c r="N472" s="113"/>
    </row>
    <row r="473" spans="1:14" s="8" customFormat="1" ht="17.25" customHeight="1">
      <c r="A473" s="142" t="s">
        <v>336</v>
      </c>
      <c r="B473" s="115"/>
      <c r="C473" s="115">
        <v>226</v>
      </c>
      <c r="D473" s="115">
        <v>800000000</v>
      </c>
      <c r="E473" s="115">
        <v>244</v>
      </c>
      <c r="F473" s="115">
        <v>226</v>
      </c>
      <c r="G473" s="102" t="s">
        <v>532</v>
      </c>
      <c r="H473" s="118">
        <f t="shared" si="33"/>
        <v>351045.33999999997</v>
      </c>
      <c r="I473" s="125">
        <f>204187.9+146857.44</f>
        <v>351045.33999999997</v>
      </c>
      <c r="J473" s="125"/>
      <c r="K473" s="113"/>
      <c r="L473" s="113"/>
      <c r="M473" s="113"/>
      <c r="N473" s="113"/>
    </row>
    <row r="474" spans="1:14" s="8" customFormat="1" ht="17.25" customHeight="1" hidden="1">
      <c r="A474" s="142" t="s">
        <v>335</v>
      </c>
      <c r="B474" s="487"/>
      <c r="C474" s="489">
        <v>226</v>
      </c>
      <c r="D474" s="489">
        <v>800000000</v>
      </c>
      <c r="E474" s="489">
        <v>244</v>
      </c>
      <c r="F474" s="489">
        <v>226</v>
      </c>
      <c r="G474" s="493" t="s">
        <v>827</v>
      </c>
      <c r="H474" s="491">
        <f t="shared" si="33"/>
        <v>0</v>
      </c>
      <c r="I474" s="486"/>
      <c r="J474" s="125"/>
      <c r="K474" s="113"/>
      <c r="L474" s="113"/>
      <c r="M474" s="113"/>
      <c r="N474" s="113"/>
    </row>
    <row r="475" spans="1:14" s="8" customFormat="1" ht="17.25" customHeight="1">
      <c r="A475" s="142" t="s">
        <v>336</v>
      </c>
      <c r="B475" s="487"/>
      <c r="C475" s="489">
        <v>226</v>
      </c>
      <c r="D475" s="489">
        <v>800000000</v>
      </c>
      <c r="E475" s="489">
        <v>244</v>
      </c>
      <c r="F475" s="489">
        <v>226</v>
      </c>
      <c r="G475" s="490" t="s">
        <v>535</v>
      </c>
      <c r="H475" s="491">
        <f>I475+J475+K475+L475+M475+N475</f>
        <v>8000</v>
      </c>
      <c r="I475" s="486">
        <v>8000</v>
      </c>
      <c r="J475" s="125"/>
      <c r="K475" s="113"/>
      <c r="L475" s="113"/>
      <c r="M475" s="113"/>
      <c r="N475" s="113"/>
    </row>
    <row r="476" spans="1:14" s="8" customFormat="1" ht="17.25" customHeight="1" hidden="1">
      <c r="A476" s="142" t="s">
        <v>336</v>
      </c>
      <c r="B476" s="487"/>
      <c r="C476" s="489">
        <v>226</v>
      </c>
      <c r="D476" s="489">
        <v>800000000</v>
      </c>
      <c r="E476" s="489">
        <v>244</v>
      </c>
      <c r="F476" s="489">
        <v>226</v>
      </c>
      <c r="G476" s="490" t="s">
        <v>531</v>
      </c>
      <c r="H476" s="491">
        <f t="shared" si="33"/>
        <v>0</v>
      </c>
      <c r="I476" s="486"/>
      <c r="J476" s="125"/>
      <c r="K476" s="113"/>
      <c r="L476" s="113"/>
      <c r="M476" s="113"/>
      <c r="N476" s="113"/>
    </row>
    <row r="477" spans="1:14" s="8" customFormat="1" ht="17.25" customHeight="1">
      <c r="A477" s="142" t="s">
        <v>336</v>
      </c>
      <c r="B477" s="487"/>
      <c r="C477" s="487">
        <v>226</v>
      </c>
      <c r="D477" s="489">
        <v>800000000</v>
      </c>
      <c r="E477" s="487">
        <v>244</v>
      </c>
      <c r="F477" s="487">
        <v>226</v>
      </c>
      <c r="G477" s="493" t="s">
        <v>827</v>
      </c>
      <c r="H477" s="491">
        <f t="shared" si="33"/>
        <v>771001.56</v>
      </c>
      <c r="I477" s="486">
        <f>768001.56+3000</f>
        <v>771001.56</v>
      </c>
      <c r="J477" s="125"/>
      <c r="K477" s="113"/>
      <c r="L477" s="113"/>
      <c r="M477" s="113"/>
      <c r="N477" s="113"/>
    </row>
    <row r="478" spans="1:14" s="8" customFormat="1" ht="17.25" customHeight="1" hidden="1">
      <c r="A478" s="142" t="s">
        <v>336</v>
      </c>
      <c r="B478" s="487"/>
      <c r="C478" s="487">
        <v>226</v>
      </c>
      <c r="D478" s="489">
        <v>800000000</v>
      </c>
      <c r="E478" s="487">
        <v>244</v>
      </c>
      <c r="F478" s="487">
        <v>226</v>
      </c>
      <c r="G478" s="494" t="s">
        <v>532</v>
      </c>
      <c r="H478" s="491">
        <f t="shared" si="33"/>
        <v>0</v>
      </c>
      <c r="I478" s="486"/>
      <c r="J478" s="125"/>
      <c r="K478" s="113"/>
      <c r="L478" s="113"/>
      <c r="M478" s="113"/>
      <c r="N478" s="113"/>
    </row>
    <row r="479" spans="1:14" s="8" customFormat="1" ht="17.25" customHeight="1">
      <c r="A479" s="142" t="s">
        <v>336</v>
      </c>
      <c r="B479" s="115"/>
      <c r="C479" s="115">
        <v>226</v>
      </c>
      <c r="D479" s="116" t="s">
        <v>521</v>
      </c>
      <c r="E479" s="115">
        <v>244</v>
      </c>
      <c r="F479" s="115">
        <v>226</v>
      </c>
      <c r="G479" s="102" t="s">
        <v>533</v>
      </c>
      <c r="H479" s="118">
        <f t="shared" si="33"/>
        <v>952014.58</v>
      </c>
      <c r="I479" s="125">
        <v>0</v>
      </c>
      <c r="J479" s="125"/>
      <c r="K479" s="113"/>
      <c r="L479" s="113"/>
      <c r="M479" s="113">
        <f>774014.58+178000</f>
        <v>952014.58</v>
      </c>
      <c r="N479" s="113"/>
    </row>
    <row r="480" spans="1:14" s="8" customFormat="1" ht="17.25" customHeight="1">
      <c r="A480" s="142" t="s">
        <v>336</v>
      </c>
      <c r="B480" s="487"/>
      <c r="C480" s="487">
        <v>226</v>
      </c>
      <c r="D480" s="488" t="s">
        <v>521</v>
      </c>
      <c r="E480" s="487"/>
      <c r="F480" s="487">
        <v>226</v>
      </c>
      <c r="G480" s="494" t="s">
        <v>533</v>
      </c>
      <c r="H480" s="491">
        <f t="shared" si="33"/>
        <v>0</v>
      </c>
      <c r="I480" s="485">
        <v>0</v>
      </c>
      <c r="J480" s="485">
        <v>0</v>
      </c>
      <c r="K480" s="499">
        <v>0</v>
      </c>
      <c r="L480" s="499">
        <v>0</v>
      </c>
      <c r="M480" s="497"/>
      <c r="N480" s="113"/>
    </row>
    <row r="481" spans="1:14" s="8" customFormat="1" ht="17.25" customHeight="1">
      <c r="A481" s="142" t="s">
        <v>400</v>
      </c>
      <c r="B481" s="115"/>
      <c r="C481" s="115">
        <v>296</v>
      </c>
      <c r="D481" s="115"/>
      <c r="E481" s="115">
        <v>244</v>
      </c>
      <c r="F481" s="115">
        <v>296</v>
      </c>
      <c r="G481" s="122"/>
      <c r="H481" s="118">
        <f t="shared" si="33"/>
        <v>0</v>
      </c>
      <c r="I481" s="125"/>
      <c r="J481" s="125"/>
      <c r="K481" s="113"/>
      <c r="L481" s="113"/>
      <c r="M481" s="113"/>
      <c r="N481" s="113"/>
    </row>
    <row r="482" spans="1:14" s="8" customFormat="1" ht="17.25" customHeight="1">
      <c r="A482" s="136" t="s">
        <v>53</v>
      </c>
      <c r="B482" s="115">
        <v>300</v>
      </c>
      <c r="C482" s="115" t="s">
        <v>10</v>
      </c>
      <c r="D482" s="115"/>
      <c r="E482" s="115"/>
      <c r="F482" s="115" t="s">
        <v>10</v>
      </c>
      <c r="G482" s="122"/>
      <c r="H482" s="118">
        <f>H484+H485</f>
        <v>0</v>
      </c>
      <c r="I482" s="125">
        <f aca="true" t="shared" si="34" ref="I482:N482">I484+I485</f>
        <v>0</v>
      </c>
      <c r="J482" s="125">
        <f t="shared" si="34"/>
        <v>0</v>
      </c>
      <c r="K482" s="125">
        <f t="shared" si="34"/>
        <v>0</v>
      </c>
      <c r="L482" s="125">
        <f t="shared" si="34"/>
        <v>0</v>
      </c>
      <c r="M482" s="125">
        <f t="shared" si="34"/>
        <v>0</v>
      </c>
      <c r="N482" s="125">
        <f t="shared" si="34"/>
        <v>0</v>
      </c>
    </row>
    <row r="483" spans="1:14" s="8" customFormat="1" ht="14.25" customHeight="1">
      <c r="A483" s="136" t="s">
        <v>3</v>
      </c>
      <c r="B483" s="115"/>
      <c r="C483" s="148"/>
      <c r="D483" s="115"/>
      <c r="E483" s="115"/>
      <c r="F483" s="148"/>
      <c r="G483" s="149"/>
      <c r="H483" s="118"/>
      <c r="I483" s="125"/>
      <c r="J483" s="125"/>
      <c r="K483" s="113"/>
      <c r="L483" s="113"/>
      <c r="M483" s="113"/>
      <c r="N483" s="113"/>
    </row>
    <row r="484" spans="1:14" s="8" customFormat="1" ht="16.5" customHeight="1">
      <c r="A484" s="136" t="s">
        <v>54</v>
      </c>
      <c r="B484" s="144">
        <v>310</v>
      </c>
      <c r="C484" s="150"/>
      <c r="D484" s="144"/>
      <c r="E484" s="144"/>
      <c r="F484" s="150"/>
      <c r="G484" s="151"/>
      <c r="H484" s="118">
        <f>I484+J484+K484+L484+M484+N484</f>
        <v>0</v>
      </c>
      <c r="I484" s="125"/>
      <c r="J484" s="125"/>
      <c r="K484" s="113"/>
      <c r="L484" s="113"/>
      <c r="M484" s="113"/>
      <c r="N484" s="113"/>
    </row>
    <row r="485" spans="1:14" s="152" customFormat="1" ht="15" customHeight="1">
      <c r="A485" s="136" t="s">
        <v>55</v>
      </c>
      <c r="B485" s="115">
        <v>320</v>
      </c>
      <c r="C485" s="115"/>
      <c r="D485" s="115"/>
      <c r="E485" s="115"/>
      <c r="F485" s="115"/>
      <c r="G485" s="122"/>
      <c r="H485" s="118">
        <f>I485+J485+K485+L485+M485+N485</f>
        <v>0</v>
      </c>
      <c r="I485" s="125"/>
      <c r="J485" s="125"/>
      <c r="K485" s="113"/>
      <c r="L485" s="113"/>
      <c r="M485" s="113"/>
      <c r="N485" s="113"/>
    </row>
    <row r="486" spans="1:14" s="152" customFormat="1" ht="17.25" customHeight="1">
      <c r="A486" s="136" t="s">
        <v>56</v>
      </c>
      <c r="B486" s="115">
        <v>400</v>
      </c>
      <c r="C486" s="115"/>
      <c r="D486" s="115"/>
      <c r="E486" s="115"/>
      <c r="F486" s="115"/>
      <c r="G486" s="122"/>
      <c r="H486" s="118">
        <f>H488+H489</f>
        <v>0</v>
      </c>
      <c r="I486" s="125">
        <f aca="true" t="shared" si="35" ref="I486:N486">I488+I489</f>
        <v>0</v>
      </c>
      <c r="J486" s="125">
        <f t="shared" si="35"/>
        <v>0</v>
      </c>
      <c r="K486" s="125">
        <f t="shared" si="35"/>
        <v>0</v>
      </c>
      <c r="L486" s="125">
        <f t="shared" si="35"/>
        <v>0</v>
      </c>
      <c r="M486" s="125">
        <f t="shared" si="35"/>
        <v>0</v>
      </c>
      <c r="N486" s="125">
        <f t="shared" si="35"/>
        <v>0</v>
      </c>
    </row>
    <row r="487" spans="1:14" s="152" customFormat="1" ht="14.25" customHeight="1">
      <c r="A487" s="136" t="s">
        <v>3</v>
      </c>
      <c r="B487" s="115"/>
      <c r="C487" s="148"/>
      <c r="D487" s="115"/>
      <c r="E487" s="115"/>
      <c r="F487" s="148"/>
      <c r="G487" s="149"/>
      <c r="H487" s="118"/>
      <c r="I487" s="125"/>
      <c r="J487" s="125"/>
      <c r="K487" s="113"/>
      <c r="L487" s="113"/>
      <c r="M487" s="113"/>
      <c r="N487" s="113"/>
    </row>
    <row r="488" spans="1:14" s="152" customFormat="1" ht="15.75" customHeight="1">
      <c r="A488" s="136" t="s">
        <v>57</v>
      </c>
      <c r="B488" s="144">
        <v>410</v>
      </c>
      <c r="C488" s="150"/>
      <c r="D488" s="144"/>
      <c r="E488" s="144"/>
      <c r="F488" s="150"/>
      <c r="G488" s="151"/>
      <c r="H488" s="118">
        <f aca="true" t="shared" si="36" ref="H488:H497">I488+J488+K488+L488+M488+N488</f>
        <v>0</v>
      </c>
      <c r="I488" s="125"/>
      <c r="J488" s="125"/>
      <c r="K488" s="113"/>
      <c r="L488" s="113"/>
      <c r="M488" s="113"/>
      <c r="N488" s="113"/>
    </row>
    <row r="489" spans="1:14" s="152" customFormat="1" ht="13.5" customHeight="1">
      <c r="A489" s="136" t="s">
        <v>58</v>
      </c>
      <c r="B489" s="115">
        <v>420</v>
      </c>
      <c r="C489" s="115"/>
      <c r="D489" s="115"/>
      <c r="E489" s="115"/>
      <c r="F489" s="115"/>
      <c r="G489" s="122"/>
      <c r="H489" s="118">
        <f t="shared" si="36"/>
        <v>0</v>
      </c>
      <c r="I489" s="125"/>
      <c r="J489" s="125"/>
      <c r="K489" s="113"/>
      <c r="L489" s="113"/>
      <c r="M489" s="113"/>
      <c r="N489" s="113"/>
    </row>
    <row r="490" spans="1:14" s="152" customFormat="1" ht="28.5" customHeight="1">
      <c r="A490" s="136" t="s">
        <v>337</v>
      </c>
      <c r="B490" s="115">
        <v>500</v>
      </c>
      <c r="C490" s="115" t="s">
        <v>10</v>
      </c>
      <c r="D490" s="115"/>
      <c r="E490" s="115"/>
      <c r="F490" s="115" t="s">
        <v>10</v>
      </c>
      <c r="G490" s="122"/>
      <c r="H490" s="118">
        <f t="shared" si="36"/>
        <v>0</v>
      </c>
      <c r="I490" s="125">
        <f>I491+I492</f>
        <v>0</v>
      </c>
      <c r="J490" s="125">
        <f>J491+J492</f>
        <v>0</v>
      </c>
      <c r="K490" s="125">
        <f>K491+K492</f>
        <v>0</v>
      </c>
      <c r="L490" s="125">
        <f>L491+L492</f>
        <v>0</v>
      </c>
      <c r="M490" s="125">
        <f>M491+M492+M493+M494+M495+M496</f>
        <v>0</v>
      </c>
      <c r="N490" s="125">
        <f>N491+N492</f>
        <v>0</v>
      </c>
    </row>
    <row r="491" spans="1:14" s="152" customFormat="1" ht="18" customHeight="1">
      <c r="A491" s="136" t="s">
        <v>59</v>
      </c>
      <c r="B491" s="115"/>
      <c r="C491" s="115">
        <v>131</v>
      </c>
      <c r="D491" s="115">
        <v>800000000</v>
      </c>
      <c r="E491" s="115"/>
      <c r="F491" s="115">
        <v>131</v>
      </c>
      <c r="G491" s="102" t="s">
        <v>532</v>
      </c>
      <c r="H491" s="118">
        <f t="shared" si="36"/>
        <v>0</v>
      </c>
      <c r="I491" s="153">
        <v>0</v>
      </c>
      <c r="J491" s="125"/>
      <c r="K491" s="113"/>
      <c r="L491" s="113"/>
      <c r="M491" s="113"/>
      <c r="N491" s="113"/>
    </row>
    <row r="492" spans="1:14" s="152" customFormat="1" ht="18" customHeight="1">
      <c r="A492" s="136" t="s">
        <v>59</v>
      </c>
      <c r="B492" s="115"/>
      <c r="C492" s="115">
        <v>152</v>
      </c>
      <c r="D492" s="115">
        <v>901480000</v>
      </c>
      <c r="E492" s="115"/>
      <c r="F492" s="115">
        <v>152</v>
      </c>
      <c r="G492" s="122" t="s">
        <v>535</v>
      </c>
      <c r="H492" s="118">
        <f t="shared" si="36"/>
        <v>0</v>
      </c>
      <c r="I492" s="153">
        <v>0</v>
      </c>
      <c r="J492" s="125"/>
      <c r="K492" s="113"/>
      <c r="L492" s="113"/>
      <c r="M492" s="113"/>
      <c r="N492" s="113"/>
    </row>
    <row r="493" spans="1:14" s="152" customFormat="1" ht="18" customHeight="1">
      <c r="A493" s="136" t="s">
        <v>59</v>
      </c>
      <c r="B493" s="115"/>
      <c r="C493" s="115">
        <v>121</v>
      </c>
      <c r="D493" s="116" t="s">
        <v>521</v>
      </c>
      <c r="E493" s="115"/>
      <c r="F493" s="115">
        <v>121</v>
      </c>
      <c r="G493" s="102" t="s">
        <v>533</v>
      </c>
      <c r="H493" s="118">
        <f t="shared" si="36"/>
        <v>0</v>
      </c>
      <c r="I493" s="153">
        <v>0</v>
      </c>
      <c r="J493" s="125"/>
      <c r="K493" s="113"/>
      <c r="L493" s="113"/>
      <c r="M493" s="113"/>
      <c r="N493" s="113"/>
    </row>
    <row r="494" spans="1:14" s="152" customFormat="1" ht="18" customHeight="1">
      <c r="A494" s="136" t="s">
        <v>59</v>
      </c>
      <c r="B494" s="115"/>
      <c r="C494" s="115">
        <v>131</v>
      </c>
      <c r="D494" s="116" t="s">
        <v>521</v>
      </c>
      <c r="E494" s="115"/>
      <c r="F494" s="115">
        <v>131</v>
      </c>
      <c r="G494" s="102" t="s">
        <v>533</v>
      </c>
      <c r="H494" s="118">
        <f t="shared" si="36"/>
        <v>0</v>
      </c>
      <c r="I494" s="153">
        <v>0</v>
      </c>
      <c r="J494" s="125"/>
      <c r="K494" s="113"/>
      <c r="L494" s="113"/>
      <c r="M494" s="113"/>
      <c r="N494" s="113"/>
    </row>
    <row r="495" spans="1:14" s="152" customFormat="1" ht="18" customHeight="1">
      <c r="A495" s="136" t="s">
        <v>59</v>
      </c>
      <c r="B495" s="115"/>
      <c r="C495" s="115">
        <v>135</v>
      </c>
      <c r="D495" s="116" t="s">
        <v>521</v>
      </c>
      <c r="E495" s="115"/>
      <c r="F495" s="115">
        <v>135</v>
      </c>
      <c r="G495" s="102" t="s">
        <v>533</v>
      </c>
      <c r="H495" s="118">
        <f t="shared" si="36"/>
        <v>0</v>
      </c>
      <c r="I495" s="153">
        <v>0</v>
      </c>
      <c r="J495" s="125"/>
      <c r="K495" s="113"/>
      <c r="L495" s="113"/>
      <c r="M495" s="113"/>
      <c r="N495" s="113"/>
    </row>
    <row r="496" spans="1:14" s="152" customFormat="1" ht="18" customHeight="1">
      <c r="A496" s="136" t="s">
        <v>59</v>
      </c>
      <c r="B496" s="115"/>
      <c r="C496" s="115">
        <v>189</v>
      </c>
      <c r="D496" s="116" t="s">
        <v>521</v>
      </c>
      <c r="E496" s="115"/>
      <c r="F496" s="115">
        <v>189</v>
      </c>
      <c r="G496" s="102" t="s">
        <v>533</v>
      </c>
      <c r="H496" s="118">
        <f t="shared" si="36"/>
        <v>0</v>
      </c>
      <c r="I496" s="153">
        <v>0</v>
      </c>
      <c r="J496" s="125"/>
      <c r="K496" s="113"/>
      <c r="L496" s="113"/>
      <c r="M496" s="113"/>
      <c r="N496" s="113"/>
    </row>
    <row r="497" spans="1:14" s="152" customFormat="1" ht="18" customHeight="1">
      <c r="A497" s="136" t="s">
        <v>60</v>
      </c>
      <c r="B497" s="115">
        <v>600</v>
      </c>
      <c r="C497" s="115" t="s">
        <v>10</v>
      </c>
      <c r="D497" s="115"/>
      <c r="E497" s="115"/>
      <c r="F497" s="115" t="s">
        <v>10</v>
      </c>
      <c r="G497" s="122"/>
      <c r="H497" s="154">
        <f t="shared" si="36"/>
        <v>0</v>
      </c>
      <c r="I497" s="155">
        <f>I298-I360</f>
        <v>0</v>
      </c>
      <c r="J497" s="155">
        <f>J298-J360</f>
        <v>0</v>
      </c>
      <c r="K497" s="155"/>
      <c r="L497" s="155"/>
      <c r="M497" s="155">
        <f>M298-M360</f>
        <v>0</v>
      </c>
      <c r="N497" s="120"/>
    </row>
    <row r="498" spans="1:14" ht="15">
      <c r="A498" s="66"/>
      <c r="B498" s="67"/>
      <c r="C498" s="67"/>
      <c r="D498" s="67"/>
      <c r="E498" s="67"/>
      <c r="F498" s="67"/>
      <c r="G498" s="67"/>
      <c r="H498" s="68"/>
      <c r="I498" s="69"/>
      <c r="J498" s="69"/>
      <c r="K498" s="69"/>
      <c r="L498" s="69"/>
      <c r="M498" s="69"/>
      <c r="N498" s="69"/>
    </row>
    <row r="499" spans="1:14" ht="22.5">
      <c r="A499" s="66"/>
      <c r="B499" s="67"/>
      <c r="C499" s="67"/>
      <c r="D499" s="67"/>
      <c r="E499" s="67"/>
      <c r="F499" s="67"/>
      <c r="G499" s="67"/>
      <c r="H499" s="68"/>
      <c r="I499" s="69"/>
      <c r="J499" s="69"/>
      <c r="K499" s="69"/>
      <c r="L499" s="69"/>
      <c r="M499" s="69"/>
      <c r="N499" s="23" t="s">
        <v>380</v>
      </c>
    </row>
    <row r="500" spans="1:14" ht="12.75" customHeight="1">
      <c r="A500" s="38"/>
      <c r="B500" s="21"/>
      <c r="C500" s="21"/>
      <c r="D500" s="21"/>
      <c r="E500" s="21"/>
      <c r="F500" s="21"/>
      <c r="G500" s="21"/>
      <c r="H500" s="626" t="s">
        <v>41</v>
      </c>
      <c r="I500" s="626"/>
      <c r="J500" s="626"/>
      <c r="K500" s="626"/>
      <c r="L500" s="21"/>
      <c r="M500" s="21"/>
      <c r="N500" s="21"/>
    </row>
    <row r="501" spans="1:14" ht="12.75" customHeight="1">
      <c r="A501" s="38"/>
      <c r="B501" s="21"/>
      <c r="C501" s="21"/>
      <c r="D501" s="21"/>
      <c r="E501" s="21"/>
      <c r="F501" s="21"/>
      <c r="G501" s="21"/>
      <c r="H501" s="625" t="s">
        <v>520</v>
      </c>
      <c r="I501" s="625"/>
      <c r="J501" s="625"/>
      <c r="K501" s="625"/>
      <c r="L501" s="21"/>
      <c r="M501" s="21"/>
      <c r="N501" s="21"/>
    </row>
    <row r="502" spans="1:14" ht="12.75" customHeight="1">
      <c r="A502" s="38"/>
      <c r="B502" s="21"/>
      <c r="C502" s="21"/>
      <c r="D502" s="21"/>
      <c r="E502" s="21"/>
      <c r="F502" s="21"/>
      <c r="G502" s="21"/>
      <c r="H502" s="22"/>
      <c r="I502" s="22"/>
      <c r="J502" s="22"/>
      <c r="K502" s="22"/>
      <c r="L502" s="21"/>
      <c r="M502" s="21"/>
      <c r="N502" s="21"/>
    </row>
    <row r="503" spans="1:15" s="8" customFormat="1" ht="18" customHeight="1">
      <c r="A503" s="621" t="s">
        <v>1</v>
      </c>
      <c r="B503" s="617" t="s">
        <v>45</v>
      </c>
      <c r="C503" s="605" t="s">
        <v>397</v>
      </c>
      <c r="D503" s="627" t="s">
        <v>163</v>
      </c>
      <c r="E503" s="614" t="s">
        <v>164</v>
      </c>
      <c r="F503" s="617" t="s">
        <v>165</v>
      </c>
      <c r="G503" s="608" t="s">
        <v>338</v>
      </c>
      <c r="H503" s="611" t="s">
        <v>38</v>
      </c>
      <c r="I503" s="612"/>
      <c r="J503" s="612"/>
      <c r="K503" s="612"/>
      <c r="L503" s="612"/>
      <c r="M503" s="612"/>
      <c r="N503" s="613"/>
      <c r="O503" s="64"/>
    </row>
    <row r="504" spans="1:15" s="8" customFormat="1" ht="16.5" customHeight="1">
      <c r="A504" s="622"/>
      <c r="B504" s="617"/>
      <c r="C504" s="606"/>
      <c r="D504" s="628"/>
      <c r="E504" s="615"/>
      <c r="F504" s="617"/>
      <c r="G504" s="609"/>
      <c r="H504" s="614" t="s">
        <v>33</v>
      </c>
      <c r="I504" s="617" t="s">
        <v>4</v>
      </c>
      <c r="J504" s="617"/>
      <c r="K504" s="617"/>
      <c r="L504" s="617"/>
      <c r="M504" s="617"/>
      <c r="N504" s="617"/>
      <c r="O504" s="64"/>
    </row>
    <row r="505" spans="1:15" s="8" customFormat="1" ht="68.25" customHeight="1">
      <c r="A505" s="622"/>
      <c r="B505" s="617"/>
      <c r="C505" s="606"/>
      <c r="D505" s="628"/>
      <c r="E505" s="615"/>
      <c r="F505" s="617"/>
      <c r="G505" s="609"/>
      <c r="H505" s="615"/>
      <c r="I505" s="618" t="s">
        <v>398</v>
      </c>
      <c r="J505" s="603" t="s">
        <v>166</v>
      </c>
      <c r="K505" s="616" t="s">
        <v>34</v>
      </c>
      <c r="L505" s="615" t="s">
        <v>35</v>
      </c>
      <c r="M505" s="616" t="s">
        <v>50</v>
      </c>
      <c r="N505" s="616"/>
      <c r="O505" s="64"/>
    </row>
    <row r="506" spans="1:15" s="8" customFormat="1" ht="30.75" customHeight="1">
      <c r="A506" s="623"/>
      <c r="B506" s="617"/>
      <c r="C506" s="607"/>
      <c r="D506" s="629"/>
      <c r="E506" s="616"/>
      <c r="F506" s="617"/>
      <c r="G506" s="610"/>
      <c r="H506" s="616"/>
      <c r="I506" s="619"/>
      <c r="J506" s="604"/>
      <c r="K506" s="617"/>
      <c r="L506" s="616"/>
      <c r="M506" s="42" t="s">
        <v>36</v>
      </c>
      <c r="N506" s="42" t="s">
        <v>37</v>
      </c>
      <c r="O506" s="64"/>
    </row>
    <row r="507" spans="1:15" s="9" customFormat="1" ht="12">
      <c r="A507" s="24">
        <v>2</v>
      </c>
      <c r="B507" s="24">
        <v>3</v>
      </c>
      <c r="C507" s="24"/>
      <c r="D507" s="24">
        <v>4</v>
      </c>
      <c r="E507" s="24">
        <v>5</v>
      </c>
      <c r="F507" s="24">
        <v>6</v>
      </c>
      <c r="G507" s="24">
        <v>7</v>
      </c>
      <c r="H507" s="17">
        <v>8</v>
      </c>
      <c r="I507" s="17">
        <v>9</v>
      </c>
      <c r="J507" s="17">
        <v>10</v>
      </c>
      <c r="K507" s="17">
        <v>11</v>
      </c>
      <c r="L507" s="17">
        <v>12</v>
      </c>
      <c r="M507" s="17">
        <v>13</v>
      </c>
      <c r="N507" s="17">
        <v>14</v>
      </c>
      <c r="O507" s="65"/>
    </row>
    <row r="508" spans="1:14" s="107" customFormat="1" ht="12.75">
      <c r="A508" s="103" t="s">
        <v>43</v>
      </c>
      <c r="B508" s="104">
        <v>100</v>
      </c>
      <c r="C508" s="104"/>
      <c r="D508" s="104"/>
      <c r="E508" s="104"/>
      <c r="F508" s="104" t="s">
        <v>10</v>
      </c>
      <c r="G508" s="105"/>
      <c r="H508" s="106">
        <f>H510+H514+H551</f>
        <v>63884254.97</v>
      </c>
      <c r="I508" s="106">
        <f>I514</f>
        <v>49432260.64</v>
      </c>
      <c r="J508" s="106">
        <f>J551</f>
        <v>906467.97</v>
      </c>
      <c r="K508" s="106">
        <f>K552</f>
        <v>0</v>
      </c>
      <c r="L508" s="106">
        <f>L514</f>
        <v>0</v>
      </c>
      <c r="M508" s="106">
        <f>M510+M514+M550+M561</f>
        <v>13545526.36</v>
      </c>
      <c r="N508" s="106">
        <f>N514+N561</f>
        <v>0</v>
      </c>
    </row>
    <row r="509" spans="1:14" s="107" customFormat="1" ht="12.75">
      <c r="A509" s="108" t="s">
        <v>3</v>
      </c>
      <c r="B509" s="109"/>
      <c r="C509" s="109"/>
      <c r="D509" s="109"/>
      <c r="E509" s="109"/>
      <c r="F509" s="109"/>
      <c r="G509" s="110"/>
      <c r="H509" s="111"/>
      <c r="I509" s="111"/>
      <c r="J509" s="111"/>
      <c r="K509" s="112"/>
      <c r="L509" s="112"/>
      <c r="M509" s="113"/>
      <c r="N509" s="112"/>
    </row>
    <row r="510" spans="1:14" s="121" customFormat="1" ht="17.25" customHeight="1">
      <c r="A510" s="114" t="s">
        <v>32</v>
      </c>
      <c r="B510" s="115">
        <v>110</v>
      </c>
      <c r="C510" s="115">
        <v>120</v>
      </c>
      <c r="D510" s="116" t="s">
        <v>521</v>
      </c>
      <c r="E510" s="115"/>
      <c r="F510" s="115">
        <v>120</v>
      </c>
      <c r="G510" s="117" t="s">
        <v>363</v>
      </c>
      <c r="H510" s="118">
        <f>M510</f>
        <v>750526.36</v>
      </c>
      <c r="I510" s="115" t="s">
        <v>74</v>
      </c>
      <c r="J510" s="115" t="s">
        <v>74</v>
      </c>
      <c r="K510" s="119" t="s">
        <v>10</v>
      </c>
      <c r="L510" s="119" t="s">
        <v>10</v>
      </c>
      <c r="M510" s="120">
        <f>M512+M513</f>
        <v>750526.36</v>
      </c>
      <c r="N510" s="119" t="s">
        <v>10</v>
      </c>
    </row>
    <row r="511" spans="1:14" s="121" customFormat="1" ht="12.75">
      <c r="A511" s="114" t="s">
        <v>364</v>
      </c>
      <c r="B511" s="115"/>
      <c r="C511" s="115"/>
      <c r="D511" s="116"/>
      <c r="E511" s="115"/>
      <c r="F511" s="115"/>
      <c r="G511" s="122"/>
      <c r="H511" s="118"/>
      <c r="I511" s="122"/>
      <c r="J511" s="115"/>
      <c r="K511" s="119"/>
      <c r="L511" s="123"/>
      <c r="M511" s="118"/>
      <c r="N511" s="123"/>
    </row>
    <row r="512" spans="1:14" s="121" customFormat="1" ht="14.25" customHeight="1">
      <c r="A512" s="114" t="s">
        <v>365</v>
      </c>
      <c r="B512" s="115"/>
      <c r="C512" s="115">
        <v>121</v>
      </c>
      <c r="D512" s="116" t="s">
        <v>521</v>
      </c>
      <c r="E512" s="115"/>
      <c r="F512" s="115">
        <v>121</v>
      </c>
      <c r="G512" s="117" t="s">
        <v>363</v>
      </c>
      <c r="H512" s="118">
        <f>SUM(I512:M512)</f>
        <v>700526.36</v>
      </c>
      <c r="I512" s="122"/>
      <c r="J512" s="115"/>
      <c r="K512" s="119"/>
      <c r="L512" s="123"/>
      <c r="M512" s="118">
        <v>700526.36</v>
      </c>
      <c r="N512" s="123"/>
    </row>
    <row r="513" spans="1:14" s="121" customFormat="1" ht="21" customHeight="1">
      <c r="A513" s="114" t="s">
        <v>366</v>
      </c>
      <c r="B513" s="115"/>
      <c r="C513" s="115">
        <v>124</v>
      </c>
      <c r="D513" s="116" t="s">
        <v>521</v>
      </c>
      <c r="E513" s="115"/>
      <c r="F513" s="115">
        <v>124</v>
      </c>
      <c r="G513" s="117" t="s">
        <v>363</v>
      </c>
      <c r="H513" s="118">
        <f>SUM(I513:M513)</f>
        <v>50000</v>
      </c>
      <c r="I513" s="122"/>
      <c r="J513" s="115"/>
      <c r="K513" s="119"/>
      <c r="L513" s="123"/>
      <c r="M513" s="118">
        <v>50000</v>
      </c>
      <c r="N513" s="123"/>
    </row>
    <row r="514" spans="1:14" s="121" customFormat="1" ht="23.25" customHeight="1">
      <c r="A514" s="114" t="s">
        <v>367</v>
      </c>
      <c r="B514" s="115">
        <v>120</v>
      </c>
      <c r="C514" s="115">
        <v>130</v>
      </c>
      <c r="D514" s="116" t="s">
        <v>521</v>
      </c>
      <c r="E514" s="115"/>
      <c r="F514" s="115">
        <v>130</v>
      </c>
      <c r="G514" s="122"/>
      <c r="H514" s="118">
        <f>I514+L514+M514+N514</f>
        <v>62227260.64</v>
      </c>
      <c r="I514" s="118">
        <f>SUM(I515:I540)</f>
        <v>49432260.64</v>
      </c>
      <c r="J514" s="115" t="s">
        <v>74</v>
      </c>
      <c r="K514" s="115" t="s">
        <v>74</v>
      </c>
      <c r="L514" s="118">
        <f>L515+L517+L519+L522+L524+L526+L527+L528+L529+L530+L531+L532+L533+L534+L536+L538+L539+L540</f>
        <v>0</v>
      </c>
      <c r="M514" s="118">
        <f>M515+M517+M519+M522+M524+M526+M527+M528+M529+M530+M531+M532+M533+M534+M536+M538+M539+M540+M518+M541+M542</f>
        <v>12795000</v>
      </c>
      <c r="N514" s="118">
        <f>N515+N517+N519+N522+N524+N526+N527+N528+N529+N530+N531+N532+N533</f>
        <v>0</v>
      </c>
    </row>
    <row r="515" spans="1:14" s="107" customFormat="1" ht="27.75" customHeight="1">
      <c r="A515" s="124" t="s">
        <v>342</v>
      </c>
      <c r="B515" s="489"/>
      <c r="C515" s="489">
        <v>131</v>
      </c>
      <c r="D515" s="489">
        <v>800000000</v>
      </c>
      <c r="E515" s="489"/>
      <c r="F515" s="489">
        <v>131</v>
      </c>
      <c r="G515" s="490" t="s">
        <v>525</v>
      </c>
      <c r="H515" s="485">
        <f>I515+J515+K515+L515+M515</f>
        <v>10758335.66</v>
      </c>
      <c r="I515" s="486">
        <v>10758335.66</v>
      </c>
      <c r="J515" s="125">
        <v>0</v>
      </c>
      <c r="K515" s="112"/>
      <c r="L515" s="111"/>
      <c r="M515" s="125">
        <v>0</v>
      </c>
      <c r="N515" s="125"/>
    </row>
    <row r="516" spans="1:14" s="107" customFormat="1" ht="12" customHeight="1">
      <c r="A516" s="124" t="s">
        <v>356</v>
      </c>
      <c r="B516" s="489"/>
      <c r="C516" s="489">
        <v>131</v>
      </c>
      <c r="D516" s="489">
        <v>800000000</v>
      </c>
      <c r="E516" s="489"/>
      <c r="F516" s="489">
        <v>131</v>
      </c>
      <c r="G516" s="493" t="s">
        <v>524</v>
      </c>
      <c r="H516" s="485">
        <f>I516+J516+K516+L516+M516</f>
        <v>983705.2</v>
      </c>
      <c r="I516" s="486">
        <v>983705.2</v>
      </c>
      <c r="J516" s="125">
        <v>0</v>
      </c>
      <c r="K516" s="112"/>
      <c r="L516" s="111"/>
      <c r="M516" s="125">
        <v>0</v>
      </c>
      <c r="N516" s="125"/>
    </row>
    <row r="517" spans="1:14" s="107" customFormat="1" ht="12" customHeight="1">
      <c r="A517" s="114" t="s">
        <v>343</v>
      </c>
      <c r="B517" s="489"/>
      <c r="C517" s="489">
        <v>131</v>
      </c>
      <c r="D517" s="489">
        <v>800000000</v>
      </c>
      <c r="E517" s="489"/>
      <c r="F517" s="489">
        <v>131</v>
      </c>
      <c r="G517" s="493" t="s">
        <v>524</v>
      </c>
      <c r="H517" s="485">
        <f>I517+J517+K517+L517+M517</f>
        <v>1540928.86</v>
      </c>
      <c r="I517" s="486">
        <v>1540928.86</v>
      </c>
      <c r="J517" s="125">
        <v>0</v>
      </c>
      <c r="K517" s="112"/>
      <c r="L517" s="111"/>
      <c r="M517" s="125">
        <v>0</v>
      </c>
      <c r="N517" s="125"/>
    </row>
    <row r="518" spans="1:14" s="121" customFormat="1" ht="12" customHeight="1">
      <c r="A518" s="114" t="s">
        <v>343</v>
      </c>
      <c r="B518" s="115"/>
      <c r="C518" s="115">
        <v>131</v>
      </c>
      <c r="D518" s="116" t="s">
        <v>521</v>
      </c>
      <c r="E518" s="115"/>
      <c r="F518" s="115">
        <v>131</v>
      </c>
      <c r="G518" s="117" t="s">
        <v>363</v>
      </c>
      <c r="H518" s="118">
        <f aca="true" t="shared" si="37" ref="H518:H538">I518+J518+K518+L518+M518</f>
        <v>2710000</v>
      </c>
      <c r="I518" s="118">
        <v>0</v>
      </c>
      <c r="J518" s="118">
        <v>0</v>
      </c>
      <c r="K518" s="119"/>
      <c r="L518" s="123"/>
      <c r="M518" s="159">
        <v>2710000</v>
      </c>
      <c r="N518" s="118"/>
    </row>
    <row r="519" spans="1:14" s="107" customFormat="1" ht="26.25" customHeight="1">
      <c r="A519" s="108" t="s">
        <v>344</v>
      </c>
      <c r="B519" s="109"/>
      <c r="C519" s="109">
        <v>131</v>
      </c>
      <c r="D519" s="115">
        <v>800000000</v>
      </c>
      <c r="E519" s="109"/>
      <c r="F519" s="109">
        <v>131</v>
      </c>
      <c r="G519" s="180" t="s">
        <v>526</v>
      </c>
      <c r="H519" s="125">
        <f t="shared" si="37"/>
        <v>11457505.6</v>
      </c>
      <c r="I519" s="125">
        <f>292941+8670581.7+2493982.9</f>
        <v>11457505.6</v>
      </c>
      <c r="J519" s="125"/>
      <c r="K519" s="112"/>
      <c r="L519" s="111"/>
      <c r="M519" s="125"/>
      <c r="N519" s="125"/>
    </row>
    <row r="520" spans="1:14" s="107" customFormat="1" ht="26.25" customHeight="1">
      <c r="A520" s="108" t="s">
        <v>344</v>
      </c>
      <c r="B520" s="109"/>
      <c r="C520" s="109">
        <v>131</v>
      </c>
      <c r="D520" s="115">
        <v>800000000</v>
      </c>
      <c r="E520" s="109"/>
      <c r="F520" s="109">
        <v>131</v>
      </c>
      <c r="G520" s="102" t="s">
        <v>527</v>
      </c>
      <c r="H520" s="125">
        <f t="shared" si="37"/>
        <v>1712009.64</v>
      </c>
      <c r="I520" s="125">
        <f>1712009.64</f>
        <v>1712009.64</v>
      </c>
      <c r="J520" s="125"/>
      <c r="K520" s="112"/>
      <c r="L520" s="111"/>
      <c r="M520" s="125"/>
      <c r="N520" s="125"/>
    </row>
    <row r="521" spans="1:14" s="107" customFormat="1" ht="26.25" customHeight="1" hidden="1">
      <c r="A521" s="517" t="s">
        <v>344</v>
      </c>
      <c r="B521" s="501"/>
      <c r="C521" s="501">
        <v>131</v>
      </c>
      <c r="D521" s="489">
        <v>800000000</v>
      </c>
      <c r="E521" s="501"/>
      <c r="F521" s="501">
        <v>131</v>
      </c>
      <c r="G521" s="490" t="s">
        <v>526</v>
      </c>
      <c r="H521" s="485">
        <f t="shared" si="37"/>
        <v>0</v>
      </c>
      <c r="I521" s="486"/>
      <c r="J521" s="125"/>
      <c r="K521" s="112"/>
      <c r="L521" s="111"/>
      <c r="M521" s="125"/>
      <c r="N521" s="125"/>
    </row>
    <row r="522" spans="1:14" s="107" customFormat="1" ht="26.25" customHeight="1">
      <c r="A522" s="108" t="s">
        <v>345</v>
      </c>
      <c r="B522" s="109"/>
      <c r="C522" s="109">
        <v>131</v>
      </c>
      <c r="D522" s="115">
        <v>800000000</v>
      </c>
      <c r="E522" s="109"/>
      <c r="F522" s="109">
        <v>131</v>
      </c>
      <c r="G522" s="180" t="s">
        <v>526</v>
      </c>
      <c r="H522" s="125">
        <f t="shared" si="37"/>
        <v>11162689.2</v>
      </c>
      <c r="I522" s="125">
        <f>360180+10802509.2</f>
        <v>11162689.2</v>
      </c>
      <c r="J522" s="125"/>
      <c r="K522" s="112"/>
      <c r="L522" s="111"/>
      <c r="M522" s="125"/>
      <c r="N522" s="125"/>
    </row>
    <row r="523" spans="1:14" s="107" customFormat="1" ht="27.75" customHeight="1">
      <c r="A523" s="108" t="s">
        <v>345</v>
      </c>
      <c r="B523" s="109"/>
      <c r="C523" s="109">
        <v>131</v>
      </c>
      <c r="D523" s="115">
        <v>800000000</v>
      </c>
      <c r="E523" s="109"/>
      <c r="F523" s="109">
        <v>131</v>
      </c>
      <c r="G523" s="102" t="s">
        <v>527</v>
      </c>
      <c r="H523" s="125">
        <f t="shared" si="37"/>
        <v>1644933.36</v>
      </c>
      <c r="I523" s="125">
        <f>1644933.36</f>
        <v>1644933.36</v>
      </c>
      <c r="J523" s="125"/>
      <c r="K523" s="112"/>
      <c r="L523" s="111"/>
      <c r="M523" s="125"/>
      <c r="N523" s="125"/>
    </row>
    <row r="524" spans="1:14" s="107" customFormat="1" ht="26.25" customHeight="1">
      <c r="A524" s="108" t="s">
        <v>346</v>
      </c>
      <c r="B524" s="109"/>
      <c r="C524" s="109">
        <v>131</v>
      </c>
      <c r="D524" s="115">
        <v>800000000</v>
      </c>
      <c r="E524" s="109"/>
      <c r="F524" s="109">
        <v>131</v>
      </c>
      <c r="G524" s="180" t="s">
        <v>526</v>
      </c>
      <c r="H524" s="125">
        <f t="shared" si="37"/>
        <v>3986028.2</v>
      </c>
      <c r="I524" s="125">
        <f>122248+3863780.2</f>
        <v>3986028.2</v>
      </c>
      <c r="J524" s="125"/>
      <c r="K524" s="112"/>
      <c r="L524" s="111"/>
      <c r="M524" s="125"/>
      <c r="N524" s="125"/>
    </row>
    <row r="525" spans="1:14" s="107" customFormat="1" ht="26.25" customHeight="1">
      <c r="A525" s="108" t="s">
        <v>346</v>
      </c>
      <c r="B525" s="109"/>
      <c r="C525" s="109">
        <v>131</v>
      </c>
      <c r="D525" s="115">
        <v>800000000</v>
      </c>
      <c r="E525" s="109"/>
      <c r="F525" s="109">
        <v>131</v>
      </c>
      <c r="G525" s="102" t="s">
        <v>527</v>
      </c>
      <c r="H525" s="125">
        <f t="shared" si="37"/>
        <v>1031767.92</v>
      </c>
      <c r="I525" s="125">
        <f>555423.64+476344.28</f>
        <v>1031767.92</v>
      </c>
      <c r="J525" s="125"/>
      <c r="K525" s="112"/>
      <c r="L525" s="111"/>
      <c r="M525" s="125"/>
      <c r="N525" s="125"/>
    </row>
    <row r="526" spans="1:14" s="107" customFormat="1" ht="12" customHeight="1">
      <c r="A526" s="108" t="s">
        <v>347</v>
      </c>
      <c r="B526" s="501"/>
      <c r="C526" s="501">
        <v>131</v>
      </c>
      <c r="D526" s="489">
        <v>800000000</v>
      </c>
      <c r="E526" s="501"/>
      <c r="F526" s="501">
        <v>131</v>
      </c>
      <c r="G526" s="493" t="s">
        <v>527</v>
      </c>
      <c r="H526" s="485">
        <f t="shared" si="37"/>
        <v>0</v>
      </c>
      <c r="I526" s="486"/>
      <c r="J526" s="125"/>
      <c r="K526" s="112"/>
      <c r="L526" s="111"/>
      <c r="M526" s="125"/>
      <c r="N526" s="125"/>
    </row>
    <row r="527" spans="1:14" s="107" customFormat="1" ht="27.75" customHeight="1">
      <c r="A527" s="126" t="s">
        <v>517</v>
      </c>
      <c r="B527" s="109"/>
      <c r="C527" s="109">
        <v>131</v>
      </c>
      <c r="D527" s="115">
        <v>800000000</v>
      </c>
      <c r="E527" s="109"/>
      <c r="F527" s="109">
        <v>131</v>
      </c>
      <c r="G527" s="110"/>
      <c r="H527" s="125">
        <f t="shared" si="37"/>
        <v>0</v>
      </c>
      <c r="I527" s="125">
        <v>0</v>
      </c>
      <c r="J527" s="125"/>
      <c r="K527" s="112"/>
      <c r="L527" s="111"/>
      <c r="M527" s="125"/>
      <c r="N527" s="125"/>
    </row>
    <row r="528" spans="1:14" s="107" customFormat="1" ht="44.25" customHeight="1">
      <c r="A528" s="108" t="s">
        <v>348</v>
      </c>
      <c r="B528" s="109"/>
      <c r="C528" s="109">
        <v>131</v>
      </c>
      <c r="D528" s="115">
        <v>800000000</v>
      </c>
      <c r="E528" s="109"/>
      <c r="F528" s="109">
        <v>131</v>
      </c>
      <c r="G528" s="110"/>
      <c r="H528" s="125">
        <f t="shared" si="37"/>
        <v>0</v>
      </c>
      <c r="I528" s="125">
        <v>0</v>
      </c>
      <c r="J528" s="125"/>
      <c r="K528" s="112"/>
      <c r="L528" s="111"/>
      <c r="M528" s="125"/>
      <c r="N528" s="125"/>
    </row>
    <row r="529" spans="1:14" s="107" customFormat="1" ht="22.5" customHeight="1">
      <c r="A529" s="114" t="s">
        <v>349</v>
      </c>
      <c r="B529" s="115"/>
      <c r="C529" s="115">
        <v>131</v>
      </c>
      <c r="D529" s="115">
        <v>800000000</v>
      </c>
      <c r="E529" s="115"/>
      <c r="F529" s="115">
        <v>131</v>
      </c>
      <c r="G529" s="122"/>
      <c r="H529" s="118">
        <f t="shared" si="37"/>
        <v>0</v>
      </c>
      <c r="I529" s="125">
        <v>0</v>
      </c>
      <c r="J529" s="125"/>
      <c r="K529" s="112"/>
      <c r="L529" s="111"/>
      <c r="M529" s="125"/>
      <c r="N529" s="125"/>
    </row>
    <row r="530" spans="1:14" s="107" customFormat="1" ht="31.5" customHeight="1">
      <c r="A530" s="127" t="s">
        <v>350</v>
      </c>
      <c r="B530" s="115"/>
      <c r="C530" s="115">
        <v>131</v>
      </c>
      <c r="D530" s="115">
        <v>800000000</v>
      </c>
      <c r="E530" s="115"/>
      <c r="F530" s="115">
        <v>131</v>
      </c>
      <c r="G530" s="122"/>
      <c r="H530" s="118">
        <f t="shared" si="37"/>
        <v>0</v>
      </c>
      <c r="I530" s="125">
        <v>0</v>
      </c>
      <c r="J530" s="125"/>
      <c r="K530" s="112"/>
      <c r="L530" s="111"/>
      <c r="M530" s="125"/>
      <c r="N530" s="125"/>
    </row>
    <row r="531" spans="1:14" s="107" customFormat="1" ht="43.5" customHeight="1">
      <c r="A531" s="114" t="s">
        <v>351</v>
      </c>
      <c r="B531" s="115"/>
      <c r="C531" s="115">
        <v>131</v>
      </c>
      <c r="D531" s="115">
        <v>800000000</v>
      </c>
      <c r="E531" s="115"/>
      <c r="F531" s="115">
        <v>131</v>
      </c>
      <c r="G531" s="122"/>
      <c r="H531" s="118">
        <f t="shared" si="37"/>
        <v>0</v>
      </c>
      <c r="I531" s="125">
        <v>0</v>
      </c>
      <c r="J531" s="125"/>
      <c r="K531" s="112"/>
      <c r="L531" s="111"/>
      <c r="M531" s="125"/>
      <c r="N531" s="125"/>
    </row>
    <row r="532" spans="1:14" s="107" customFormat="1" ht="33" customHeight="1">
      <c r="A532" s="114" t="s">
        <v>352</v>
      </c>
      <c r="B532" s="115"/>
      <c r="C532" s="115">
        <v>131</v>
      </c>
      <c r="D532" s="115">
        <v>800000000</v>
      </c>
      <c r="E532" s="115"/>
      <c r="F532" s="115">
        <v>131</v>
      </c>
      <c r="G532" s="122"/>
      <c r="H532" s="118">
        <f t="shared" si="37"/>
        <v>0</v>
      </c>
      <c r="I532" s="125">
        <v>0</v>
      </c>
      <c r="J532" s="125"/>
      <c r="K532" s="112"/>
      <c r="L532" s="111"/>
      <c r="M532" s="125"/>
      <c r="N532" s="125"/>
    </row>
    <row r="533" spans="1:14" s="107" customFormat="1" ht="33.75" customHeight="1">
      <c r="A533" s="114" t="s">
        <v>353</v>
      </c>
      <c r="B533" s="115"/>
      <c r="C533" s="115">
        <v>131</v>
      </c>
      <c r="D533" s="115">
        <v>800000000</v>
      </c>
      <c r="E533" s="115"/>
      <c r="F533" s="115">
        <v>131</v>
      </c>
      <c r="G533" s="122"/>
      <c r="H533" s="118">
        <f t="shared" si="37"/>
        <v>0</v>
      </c>
      <c r="I533" s="125">
        <v>0</v>
      </c>
      <c r="J533" s="125"/>
      <c r="K533" s="112"/>
      <c r="L533" s="111"/>
      <c r="M533" s="125"/>
      <c r="N533" s="125"/>
    </row>
    <row r="534" spans="1:14" s="107" customFormat="1" ht="25.5">
      <c r="A534" s="114" t="s">
        <v>51</v>
      </c>
      <c r="B534" s="115"/>
      <c r="C534" s="115">
        <v>131</v>
      </c>
      <c r="D534" s="115">
        <v>800000000</v>
      </c>
      <c r="E534" s="115"/>
      <c r="F534" s="115">
        <v>131</v>
      </c>
      <c r="G534" s="102" t="s">
        <v>527</v>
      </c>
      <c r="H534" s="118">
        <f t="shared" si="37"/>
        <v>1112470</v>
      </c>
      <c r="I534" s="125">
        <f>805176+307294</f>
        <v>1112470</v>
      </c>
      <c r="J534" s="125"/>
      <c r="K534" s="112"/>
      <c r="L534" s="111"/>
      <c r="M534" s="125"/>
      <c r="N534" s="125"/>
    </row>
    <row r="535" spans="1:14" s="107" customFormat="1" ht="25.5" hidden="1">
      <c r="A535" s="114" t="s">
        <v>51</v>
      </c>
      <c r="B535" s="487"/>
      <c r="C535" s="487">
        <v>131</v>
      </c>
      <c r="D535" s="489">
        <v>800000000</v>
      </c>
      <c r="E535" s="487"/>
      <c r="F535" s="487">
        <v>131</v>
      </c>
      <c r="G535" s="494" t="s">
        <v>527</v>
      </c>
      <c r="H535" s="491">
        <f t="shared" si="37"/>
        <v>0</v>
      </c>
      <c r="I535" s="486"/>
      <c r="J535" s="125"/>
      <c r="K535" s="112"/>
      <c r="L535" s="111"/>
      <c r="M535" s="125"/>
      <c r="N535" s="125"/>
    </row>
    <row r="536" spans="1:14" s="107" customFormat="1" ht="12.75">
      <c r="A536" s="114" t="s">
        <v>52</v>
      </c>
      <c r="B536" s="115"/>
      <c r="C536" s="115">
        <v>131</v>
      </c>
      <c r="D536" s="115">
        <v>800000000</v>
      </c>
      <c r="E536" s="115"/>
      <c r="F536" s="115">
        <v>131</v>
      </c>
      <c r="G536" s="102" t="s">
        <v>527</v>
      </c>
      <c r="H536" s="118">
        <f t="shared" si="37"/>
        <v>4041887</v>
      </c>
      <c r="I536" s="125">
        <f>2959713+1082174</f>
        <v>4041887</v>
      </c>
      <c r="J536" s="125"/>
      <c r="K536" s="112"/>
      <c r="L536" s="111"/>
      <c r="M536" s="125"/>
      <c r="N536" s="125"/>
    </row>
    <row r="537" spans="1:14" s="107" customFormat="1" ht="15" hidden="1">
      <c r="A537" s="114" t="s">
        <v>52</v>
      </c>
      <c r="B537" s="487"/>
      <c r="C537" s="487">
        <v>131</v>
      </c>
      <c r="D537" s="489">
        <v>800000000</v>
      </c>
      <c r="E537" s="487"/>
      <c r="F537" s="487">
        <v>131</v>
      </c>
      <c r="G537" s="494" t="s">
        <v>527</v>
      </c>
      <c r="H537" s="491">
        <f t="shared" si="37"/>
        <v>0</v>
      </c>
      <c r="I537" s="486"/>
      <c r="J537" s="125"/>
      <c r="K537" s="112"/>
      <c r="L537" s="111"/>
      <c r="M537" s="125"/>
      <c r="N537" s="125"/>
    </row>
    <row r="538" spans="1:14" s="128" customFormat="1" ht="12.75">
      <c r="A538" s="114" t="s">
        <v>46</v>
      </c>
      <c r="B538" s="115"/>
      <c r="C538" s="115">
        <v>131</v>
      </c>
      <c r="D538" s="116" t="s">
        <v>521</v>
      </c>
      <c r="E538" s="115"/>
      <c r="F538" s="115">
        <v>131</v>
      </c>
      <c r="G538" s="117" t="s">
        <v>363</v>
      </c>
      <c r="H538" s="118">
        <f t="shared" si="37"/>
        <v>7823000</v>
      </c>
      <c r="I538" s="118"/>
      <c r="J538" s="118"/>
      <c r="K538" s="119"/>
      <c r="L538" s="123"/>
      <c r="M538" s="118">
        <f>5670000+2153000</f>
        <v>7823000</v>
      </c>
      <c r="N538" s="118"/>
    </row>
    <row r="539" spans="1:14" s="128" customFormat="1" ht="12.75">
      <c r="A539" s="114" t="s">
        <v>48</v>
      </c>
      <c r="B539" s="115"/>
      <c r="C539" s="115">
        <v>131</v>
      </c>
      <c r="D539" s="116" t="s">
        <v>521</v>
      </c>
      <c r="E539" s="115"/>
      <c r="F539" s="115">
        <v>131</v>
      </c>
      <c r="G539" s="117" t="s">
        <v>363</v>
      </c>
      <c r="H539" s="118">
        <f>I539+J539+K539+L539+M539</f>
        <v>1890000</v>
      </c>
      <c r="I539" s="118"/>
      <c r="J539" s="118"/>
      <c r="K539" s="119"/>
      <c r="L539" s="123"/>
      <c r="M539" s="159">
        <v>1890000</v>
      </c>
      <c r="N539" s="118"/>
    </row>
    <row r="540" spans="1:14" s="128" customFormat="1" ht="15.75" customHeight="1">
      <c r="A540" s="114" t="s">
        <v>368</v>
      </c>
      <c r="B540" s="115"/>
      <c r="C540" s="115">
        <v>134</v>
      </c>
      <c r="D540" s="116" t="s">
        <v>521</v>
      </c>
      <c r="E540" s="115"/>
      <c r="F540" s="115">
        <v>134</v>
      </c>
      <c r="G540" s="117" t="s">
        <v>363</v>
      </c>
      <c r="H540" s="118">
        <f>I540+J540+K540+L540+M540</f>
        <v>0</v>
      </c>
      <c r="I540" s="118"/>
      <c r="J540" s="118"/>
      <c r="K540" s="119"/>
      <c r="L540" s="123"/>
      <c r="M540" s="118"/>
      <c r="N540" s="118"/>
    </row>
    <row r="541" spans="1:14" s="128" customFormat="1" ht="15.75" customHeight="1">
      <c r="A541" s="114" t="s">
        <v>47</v>
      </c>
      <c r="B541" s="115"/>
      <c r="C541" s="115">
        <v>135</v>
      </c>
      <c r="D541" s="116" t="s">
        <v>521</v>
      </c>
      <c r="E541" s="115"/>
      <c r="F541" s="115">
        <v>135</v>
      </c>
      <c r="G541" s="117" t="s">
        <v>363</v>
      </c>
      <c r="H541" s="118">
        <f>I541+J541+K541+L541+M541</f>
        <v>372000</v>
      </c>
      <c r="I541" s="118"/>
      <c r="J541" s="118"/>
      <c r="K541" s="119"/>
      <c r="L541" s="123"/>
      <c r="M541" s="118">
        <f>365000+7000</f>
        <v>372000</v>
      </c>
      <c r="N541" s="118"/>
    </row>
    <row r="542" spans="1:14" s="128" customFormat="1" ht="15.75" customHeight="1">
      <c r="A542" s="114" t="s">
        <v>47</v>
      </c>
      <c r="B542" s="487"/>
      <c r="C542" s="489">
        <v>135</v>
      </c>
      <c r="D542" s="488" t="s">
        <v>521</v>
      </c>
      <c r="E542" s="489"/>
      <c r="F542" s="489">
        <v>135</v>
      </c>
      <c r="G542" s="492" t="s">
        <v>363</v>
      </c>
      <c r="H542" s="491">
        <f>I542+J542+K542+L542+M542</f>
        <v>0</v>
      </c>
      <c r="I542" s="491">
        <v>0</v>
      </c>
      <c r="J542" s="491">
        <v>0</v>
      </c>
      <c r="K542" s="119">
        <v>0</v>
      </c>
      <c r="L542" s="123">
        <v>0</v>
      </c>
      <c r="M542" s="495"/>
      <c r="N542" s="118"/>
    </row>
    <row r="543" spans="1:14" s="134" customFormat="1" ht="21.75" customHeight="1">
      <c r="A543" s="129" t="s">
        <v>432</v>
      </c>
      <c r="B543" s="130">
        <v>130</v>
      </c>
      <c r="C543" s="130">
        <v>140</v>
      </c>
      <c r="D543" s="116" t="s">
        <v>521</v>
      </c>
      <c r="E543" s="130"/>
      <c r="F543" s="130">
        <v>140</v>
      </c>
      <c r="G543" s="131" t="s">
        <v>363</v>
      </c>
      <c r="H543" s="132">
        <f>M543</f>
        <v>0</v>
      </c>
      <c r="I543" s="130" t="s">
        <v>74</v>
      </c>
      <c r="J543" s="130" t="s">
        <v>74</v>
      </c>
      <c r="K543" s="130" t="s">
        <v>74</v>
      </c>
      <c r="L543" s="130" t="s">
        <v>74</v>
      </c>
      <c r="M543" s="133">
        <f>M545+M546+M547+M548+M549</f>
        <v>0</v>
      </c>
      <c r="N543" s="130" t="s">
        <v>74</v>
      </c>
    </row>
    <row r="544" spans="1:14" s="128" customFormat="1" ht="12.75">
      <c r="A544" s="114" t="s">
        <v>364</v>
      </c>
      <c r="B544" s="115"/>
      <c r="C544" s="115"/>
      <c r="D544" s="116"/>
      <c r="E544" s="115"/>
      <c r="F544" s="115"/>
      <c r="G544" s="122"/>
      <c r="H544" s="118"/>
      <c r="I544" s="122"/>
      <c r="J544" s="115"/>
      <c r="K544" s="119"/>
      <c r="L544" s="123"/>
      <c r="M544" s="118"/>
      <c r="N544" s="123"/>
    </row>
    <row r="545" spans="1:14" s="128" customFormat="1" ht="38.25">
      <c r="A545" s="114" t="s">
        <v>369</v>
      </c>
      <c r="B545" s="115"/>
      <c r="C545" s="115">
        <v>141</v>
      </c>
      <c r="D545" s="116" t="s">
        <v>521</v>
      </c>
      <c r="E545" s="115"/>
      <c r="F545" s="115">
        <v>141</v>
      </c>
      <c r="G545" s="117" t="s">
        <v>363</v>
      </c>
      <c r="H545" s="118">
        <f>I545+J545+K545+L545+M545</f>
        <v>0</v>
      </c>
      <c r="I545" s="122"/>
      <c r="J545" s="115"/>
      <c r="K545" s="119"/>
      <c r="L545" s="123"/>
      <c r="M545" s="118"/>
      <c r="N545" s="123"/>
    </row>
    <row r="546" spans="1:14" s="128" customFormat="1" ht="25.5">
      <c r="A546" s="114" t="s">
        <v>370</v>
      </c>
      <c r="B546" s="115"/>
      <c r="C546" s="115">
        <v>142</v>
      </c>
      <c r="D546" s="116" t="s">
        <v>521</v>
      </c>
      <c r="E546" s="115"/>
      <c r="F546" s="115">
        <v>142</v>
      </c>
      <c r="G546" s="117" t="s">
        <v>363</v>
      </c>
      <c r="H546" s="118">
        <f>I546+J546+K546+L546+M546</f>
        <v>0</v>
      </c>
      <c r="I546" s="122"/>
      <c r="J546" s="115"/>
      <c r="K546" s="119"/>
      <c r="L546" s="123"/>
      <c r="M546" s="118"/>
      <c r="N546" s="123"/>
    </row>
    <row r="547" spans="1:14" s="128" customFormat="1" ht="15" customHeight="1">
      <c r="A547" s="114" t="s">
        <v>371</v>
      </c>
      <c r="B547" s="115"/>
      <c r="C547" s="115">
        <v>143</v>
      </c>
      <c r="D547" s="116" t="s">
        <v>521</v>
      </c>
      <c r="E547" s="115"/>
      <c r="F547" s="115">
        <v>143</v>
      </c>
      <c r="G547" s="117" t="s">
        <v>363</v>
      </c>
      <c r="H547" s="118">
        <f>I547+J547+K547+L547+M547</f>
        <v>0</v>
      </c>
      <c r="I547" s="122"/>
      <c r="J547" s="115"/>
      <c r="K547" s="119"/>
      <c r="L547" s="123"/>
      <c r="M547" s="118"/>
      <c r="N547" s="123"/>
    </row>
    <row r="548" spans="1:14" s="128" customFormat="1" ht="15" customHeight="1">
      <c r="A548" s="114" t="s">
        <v>372</v>
      </c>
      <c r="B548" s="115"/>
      <c r="C548" s="115">
        <v>144</v>
      </c>
      <c r="D548" s="116" t="s">
        <v>521</v>
      </c>
      <c r="E548" s="115"/>
      <c r="F548" s="115">
        <v>144</v>
      </c>
      <c r="G548" s="117" t="s">
        <v>363</v>
      </c>
      <c r="H548" s="118">
        <f>I548+J548+K548+L548+M548</f>
        <v>0</v>
      </c>
      <c r="I548" s="122"/>
      <c r="J548" s="115"/>
      <c r="K548" s="119"/>
      <c r="L548" s="123"/>
      <c r="M548" s="118"/>
      <c r="N548" s="123"/>
    </row>
    <row r="549" spans="1:14" s="128" customFormat="1" ht="23.25" customHeight="1">
      <c r="A549" s="114" t="s">
        <v>373</v>
      </c>
      <c r="B549" s="115"/>
      <c r="C549" s="115">
        <v>145</v>
      </c>
      <c r="D549" s="116" t="s">
        <v>521</v>
      </c>
      <c r="E549" s="115"/>
      <c r="F549" s="115">
        <v>145</v>
      </c>
      <c r="G549" s="117" t="s">
        <v>363</v>
      </c>
      <c r="H549" s="118">
        <f>I549+J549+K549+L549+M549</f>
        <v>0</v>
      </c>
      <c r="I549" s="122"/>
      <c r="J549" s="115"/>
      <c r="K549" s="119"/>
      <c r="L549" s="123"/>
      <c r="M549" s="118"/>
      <c r="N549" s="123"/>
    </row>
    <row r="550" spans="1:14" s="107" customFormat="1" ht="50.25" customHeight="1">
      <c r="A550" s="114" t="s">
        <v>49</v>
      </c>
      <c r="B550" s="115">
        <v>140</v>
      </c>
      <c r="C550" s="115"/>
      <c r="D550" s="116" t="s">
        <v>521</v>
      </c>
      <c r="E550" s="115"/>
      <c r="F550" s="115"/>
      <c r="G550" s="122"/>
      <c r="H550" s="118">
        <f>M550</f>
        <v>0</v>
      </c>
      <c r="I550" s="109" t="s">
        <v>74</v>
      </c>
      <c r="J550" s="109" t="s">
        <v>74</v>
      </c>
      <c r="K550" s="109" t="s">
        <v>74</v>
      </c>
      <c r="L550" s="109" t="s">
        <v>74</v>
      </c>
      <c r="M550" s="109"/>
      <c r="N550" s="109" t="s">
        <v>74</v>
      </c>
    </row>
    <row r="551" spans="1:14" s="107" customFormat="1" ht="31.5" customHeight="1">
      <c r="A551" s="114" t="s">
        <v>167</v>
      </c>
      <c r="B551" s="489">
        <v>150</v>
      </c>
      <c r="C551" s="489">
        <v>150</v>
      </c>
      <c r="D551" s="489">
        <v>901000000</v>
      </c>
      <c r="E551" s="489"/>
      <c r="F551" s="489">
        <v>150</v>
      </c>
      <c r="G551" s="500"/>
      <c r="H551" s="491">
        <f aca="true" t="shared" si="38" ref="H551:H559">J551+K551</f>
        <v>906467.97</v>
      </c>
      <c r="I551" s="501" t="s">
        <v>74</v>
      </c>
      <c r="J551" s="516">
        <f>SUM(J552:J559)</f>
        <v>906467.97</v>
      </c>
      <c r="K551" s="109">
        <f>K552</f>
        <v>0</v>
      </c>
      <c r="L551" s="109" t="s">
        <v>74</v>
      </c>
      <c r="M551" s="109" t="s">
        <v>74</v>
      </c>
      <c r="N551" s="109" t="s">
        <v>74</v>
      </c>
    </row>
    <row r="552" spans="1:14" s="107" customFormat="1" ht="31.5" customHeight="1">
      <c r="A552" s="114" t="s">
        <v>830</v>
      </c>
      <c r="B552" s="489"/>
      <c r="C552" s="489">
        <v>152</v>
      </c>
      <c r="D552" s="489">
        <v>901480000</v>
      </c>
      <c r="E552" s="489"/>
      <c r="F552" s="489">
        <v>152</v>
      </c>
      <c r="G552" s="500" t="s">
        <v>526</v>
      </c>
      <c r="H552" s="491">
        <f t="shared" si="38"/>
        <v>364383</v>
      </c>
      <c r="I552" s="501">
        <v>0</v>
      </c>
      <c r="J552" s="486">
        <v>364383</v>
      </c>
      <c r="K552" s="112"/>
      <c r="L552" s="109" t="s">
        <v>74</v>
      </c>
      <c r="M552" s="109" t="s">
        <v>74</v>
      </c>
      <c r="N552" s="109" t="s">
        <v>74</v>
      </c>
    </row>
    <row r="553" spans="1:14" s="107" customFormat="1" ht="31.5" customHeight="1">
      <c r="A553" s="114" t="s">
        <v>236</v>
      </c>
      <c r="B553" s="489"/>
      <c r="C553" s="489">
        <v>152</v>
      </c>
      <c r="D553" s="489">
        <v>901160000</v>
      </c>
      <c r="E553" s="489"/>
      <c r="F553" s="489">
        <v>152</v>
      </c>
      <c r="G553" s="500" t="s">
        <v>526</v>
      </c>
      <c r="H553" s="491">
        <f t="shared" si="38"/>
        <v>129583</v>
      </c>
      <c r="I553" s="501">
        <v>0</v>
      </c>
      <c r="J553" s="486">
        <v>129583</v>
      </c>
      <c r="K553" s="112"/>
      <c r="L553" s="109"/>
      <c r="M553" s="109"/>
      <c r="N553" s="109"/>
    </row>
    <row r="554" spans="1:14" s="107" customFormat="1" ht="31.5" customHeight="1">
      <c r="A554" s="114" t="s">
        <v>831</v>
      </c>
      <c r="B554" s="489"/>
      <c r="C554" s="489">
        <v>152</v>
      </c>
      <c r="D554" s="489">
        <v>901830000</v>
      </c>
      <c r="E554" s="489"/>
      <c r="F554" s="489">
        <v>152</v>
      </c>
      <c r="G554" s="500" t="s">
        <v>526</v>
      </c>
      <c r="H554" s="491">
        <f t="shared" si="38"/>
        <v>68595.97</v>
      </c>
      <c r="I554" s="501">
        <v>0</v>
      </c>
      <c r="J554" s="486">
        <v>68595.97</v>
      </c>
      <c r="K554" s="112"/>
      <c r="L554" s="109"/>
      <c r="M554" s="109"/>
      <c r="N554" s="109"/>
    </row>
    <row r="555" spans="1:14" s="107" customFormat="1" ht="31.5" customHeight="1">
      <c r="A555" s="114" t="s">
        <v>833</v>
      </c>
      <c r="B555" s="489"/>
      <c r="C555" s="489">
        <v>152</v>
      </c>
      <c r="D555" s="489">
        <v>901140000</v>
      </c>
      <c r="E555" s="489"/>
      <c r="F555" s="489">
        <v>152</v>
      </c>
      <c r="G555" s="500" t="s">
        <v>526</v>
      </c>
      <c r="H555" s="491">
        <f t="shared" si="38"/>
        <v>56596</v>
      </c>
      <c r="I555" s="501">
        <v>0</v>
      </c>
      <c r="J555" s="486">
        <v>56596</v>
      </c>
      <c r="K555" s="112"/>
      <c r="L555" s="109" t="s">
        <v>74</v>
      </c>
      <c r="M555" s="109" t="s">
        <v>74</v>
      </c>
      <c r="N555" s="109" t="s">
        <v>74</v>
      </c>
    </row>
    <row r="556" spans="1:14" s="107" customFormat="1" ht="31.5" customHeight="1">
      <c r="A556" s="114" t="s">
        <v>834</v>
      </c>
      <c r="B556" s="489"/>
      <c r="C556" s="489">
        <v>152</v>
      </c>
      <c r="D556" s="489">
        <v>901140000</v>
      </c>
      <c r="E556" s="489"/>
      <c r="F556" s="489">
        <v>152</v>
      </c>
      <c r="G556" s="500" t="s">
        <v>526</v>
      </c>
      <c r="H556" s="491">
        <f t="shared" si="38"/>
        <v>13862</v>
      </c>
      <c r="I556" s="501">
        <v>0</v>
      </c>
      <c r="J556" s="486">
        <v>13862</v>
      </c>
      <c r="K556" s="112"/>
      <c r="L556" s="109" t="s">
        <v>74</v>
      </c>
      <c r="M556" s="109" t="s">
        <v>74</v>
      </c>
      <c r="N556" s="109" t="s">
        <v>74</v>
      </c>
    </row>
    <row r="557" spans="1:14" s="107" customFormat="1" ht="31.5" customHeight="1">
      <c r="A557" s="114" t="s">
        <v>835</v>
      </c>
      <c r="B557" s="489"/>
      <c r="C557" s="489">
        <v>152</v>
      </c>
      <c r="D557" s="489">
        <v>901150000</v>
      </c>
      <c r="E557" s="489"/>
      <c r="F557" s="489">
        <v>152</v>
      </c>
      <c r="G557" s="500" t="s">
        <v>526</v>
      </c>
      <c r="H557" s="491">
        <f t="shared" si="38"/>
        <v>67915</v>
      </c>
      <c r="I557" s="501">
        <v>0</v>
      </c>
      <c r="J557" s="486">
        <v>67915</v>
      </c>
      <c r="K557" s="112"/>
      <c r="L557" s="109" t="s">
        <v>74</v>
      </c>
      <c r="M557" s="109" t="s">
        <v>74</v>
      </c>
      <c r="N557" s="109" t="s">
        <v>74</v>
      </c>
    </row>
    <row r="558" spans="1:14" s="107" customFormat="1" ht="31.5" customHeight="1">
      <c r="A558" s="114" t="s">
        <v>241</v>
      </c>
      <c r="B558" s="489"/>
      <c r="C558" s="489">
        <v>152</v>
      </c>
      <c r="D558" s="502">
        <v>901210000</v>
      </c>
      <c r="E558" s="489"/>
      <c r="F558" s="489">
        <v>152</v>
      </c>
      <c r="G558" s="492" t="s">
        <v>528</v>
      </c>
      <c r="H558" s="491">
        <f t="shared" si="38"/>
        <v>105533</v>
      </c>
      <c r="I558" s="501">
        <v>0</v>
      </c>
      <c r="J558" s="486">
        <v>105533</v>
      </c>
      <c r="K558" s="112"/>
      <c r="L558" s="109" t="s">
        <v>74</v>
      </c>
      <c r="M558" s="109" t="s">
        <v>74</v>
      </c>
      <c r="N558" s="109" t="s">
        <v>74</v>
      </c>
    </row>
    <row r="559" spans="1:14" s="107" customFormat="1" ht="31.5" customHeight="1">
      <c r="A559" s="114" t="s">
        <v>836</v>
      </c>
      <c r="B559" s="489"/>
      <c r="C559" s="489">
        <v>152</v>
      </c>
      <c r="D559" s="489">
        <v>901480000</v>
      </c>
      <c r="E559" s="489"/>
      <c r="F559" s="489">
        <v>152</v>
      </c>
      <c r="G559" s="500" t="s">
        <v>526</v>
      </c>
      <c r="H559" s="491">
        <f t="shared" si="38"/>
        <v>100000</v>
      </c>
      <c r="I559" s="501">
        <v>0</v>
      </c>
      <c r="J559" s="486">
        <v>100000</v>
      </c>
      <c r="K559" s="112"/>
      <c r="L559" s="109" t="s">
        <v>74</v>
      </c>
      <c r="M559" s="109" t="s">
        <v>74</v>
      </c>
      <c r="N559" s="109" t="s">
        <v>74</v>
      </c>
    </row>
    <row r="560" spans="1:14" s="107" customFormat="1" ht="31.5" customHeight="1">
      <c r="A560" s="114" t="s">
        <v>167</v>
      </c>
      <c r="B560" s="115">
        <v>150</v>
      </c>
      <c r="C560" s="115">
        <v>152</v>
      </c>
      <c r="D560" s="115">
        <v>901750000</v>
      </c>
      <c r="E560" s="115"/>
      <c r="F560" s="115">
        <v>152</v>
      </c>
      <c r="G560" s="122" t="s">
        <v>534</v>
      </c>
      <c r="H560" s="118">
        <f>J560+K560</f>
        <v>0</v>
      </c>
      <c r="I560" s="109"/>
      <c r="J560" s="125">
        <v>0</v>
      </c>
      <c r="K560" s="112"/>
      <c r="L560" s="109"/>
      <c r="M560" s="110"/>
      <c r="N560" s="110"/>
    </row>
    <row r="561" spans="1:14" s="128" customFormat="1" ht="18" customHeight="1">
      <c r="A561" s="114" t="s">
        <v>210</v>
      </c>
      <c r="B561" s="115">
        <v>160</v>
      </c>
      <c r="C561" s="115">
        <v>180</v>
      </c>
      <c r="D561" s="116" t="s">
        <v>521</v>
      </c>
      <c r="E561" s="115"/>
      <c r="F561" s="115">
        <v>180</v>
      </c>
      <c r="G561" s="117" t="s">
        <v>363</v>
      </c>
      <c r="H561" s="118">
        <f aca="true" t="shared" si="39" ref="H561:H567">M561</f>
        <v>0</v>
      </c>
      <c r="I561" s="115" t="s">
        <v>74</v>
      </c>
      <c r="J561" s="115" t="s">
        <v>74</v>
      </c>
      <c r="K561" s="115" t="s">
        <v>74</v>
      </c>
      <c r="L561" s="115" t="s">
        <v>74</v>
      </c>
      <c r="M561" s="118">
        <f>M562+M563</f>
        <v>0</v>
      </c>
      <c r="N561" s="118">
        <f>N562+N563</f>
        <v>0</v>
      </c>
    </row>
    <row r="562" spans="1:14" s="128" customFormat="1" ht="15" customHeight="1">
      <c r="A562" s="135" t="s">
        <v>133</v>
      </c>
      <c r="B562" s="115"/>
      <c r="C562" s="115">
        <v>189</v>
      </c>
      <c r="D562" s="116" t="s">
        <v>521</v>
      </c>
      <c r="E562" s="115"/>
      <c r="F562" s="115">
        <v>189</v>
      </c>
      <c r="G562" s="117" t="s">
        <v>363</v>
      </c>
      <c r="H562" s="118">
        <f t="shared" si="39"/>
        <v>0</v>
      </c>
      <c r="I562" s="118"/>
      <c r="J562" s="118"/>
      <c r="K562" s="119"/>
      <c r="L562" s="123"/>
      <c r="M562" s="118"/>
      <c r="N562" s="118"/>
    </row>
    <row r="563" spans="1:14" s="128" customFormat="1" ht="15" customHeight="1">
      <c r="A563" s="135" t="s">
        <v>134</v>
      </c>
      <c r="B563" s="115"/>
      <c r="C563" s="115">
        <v>189</v>
      </c>
      <c r="D563" s="116" t="s">
        <v>521</v>
      </c>
      <c r="E563" s="115"/>
      <c r="F563" s="115">
        <v>189</v>
      </c>
      <c r="G563" s="117" t="s">
        <v>363</v>
      </c>
      <c r="H563" s="118">
        <f t="shared" si="39"/>
        <v>0</v>
      </c>
      <c r="I563" s="118"/>
      <c r="J563" s="118"/>
      <c r="K563" s="119"/>
      <c r="L563" s="123"/>
      <c r="M563" s="118"/>
      <c r="N563" s="118"/>
    </row>
    <row r="564" spans="1:14" s="128" customFormat="1" ht="23.25" customHeight="1">
      <c r="A564" s="114" t="s">
        <v>211</v>
      </c>
      <c r="B564" s="115">
        <v>180</v>
      </c>
      <c r="C564" s="115">
        <v>400</v>
      </c>
      <c r="D564" s="116" t="s">
        <v>521</v>
      </c>
      <c r="E564" s="115" t="s">
        <v>74</v>
      </c>
      <c r="F564" s="115">
        <v>400</v>
      </c>
      <c r="G564" s="117" t="s">
        <v>363</v>
      </c>
      <c r="H564" s="118">
        <f t="shared" si="39"/>
        <v>0</v>
      </c>
      <c r="I564" s="115" t="s">
        <v>74</v>
      </c>
      <c r="J564" s="115" t="s">
        <v>74</v>
      </c>
      <c r="K564" s="115" t="s">
        <v>74</v>
      </c>
      <c r="L564" s="115" t="s">
        <v>74</v>
      </c>
      <c r="M564" s="118">
        <f>M565+M566+M567+M569+M568</f>
        <v>0</v>
      </c>
      <c r="N564" s="115" t="s">
        <v>74</v>
      </c>
    </row>
    <row r="565" spans="1:14" s="128" customFormat="1" ht="23.25" customHeight="1">
      <c r="A565" s="136" t="s">
        <v>374</v>
      </c>
      <c r="B565" s="115"/>
      <c r="C565" s="115">
        <v>410</v>
      </c>
      <c r="D565" s="116" t="s">
        <v>521</v>
      </c>
      <c r="E565" s="115"/>
      <c r="F565" s="115">
        <v>410</v>
      </c>
      <c r="G565" s="117" t="s">
        <v>363</v>
      </c>
      <c r="H565" s="118">
        <f t="shared" si="39"/>
        <v>0</v>
      </c>
      <c r="I565" s="118"/>
      <c r="J565" s="118"/>
      <c r="K565" s="119"/>
      <c r="L565" s="123"/>
      <c r="M565" s="118"/>
      <c r="N565" s="118"/>
    </row>
    <row r="566" spans="1:14" s="128" customFormat="1" ht="23.25" customHeight="1">
      <c r="A566" s="136" t="s">
        <v>375</v>
      </c>
      <c r="B566" s="115"/>
      <c r="C566" s="115">
        <v>420</v>
      </c>
      <c r="D566" s="116" t="s">
        <v>521</v>
      </c>
      <c r="E566" s="115"/>
      <c r="F566" s="115">
        <v>420</v>
      </c>
      <c r="G566" s="117" t="s">
        <v>363</v>
      </c>
      <c r="H566" s="118">
        <f t="shared" si="39"/>
        <v>0</v>
      </c>
      <c r="I566" s="118"/>
      <c r="J566" s="118"/>
      <c r="K566" s="119"/>
      <c r="L566" s="123"/>
      <c r="M566" s="118"/>
      <c r="N566" s="118"/>
    </row>
    <row r="567" spans="1:14" s="128" customFormat="1" ht="23.25" customHeight="1">
      <c r="A567" s="136" t="s">
        <v>376</v>
      </c>
      <c r="B567" s="115"/>
      <c r="C567" s="115">
        <v>430</v>
      </c>
      <c r="D567" s="116" t="s">
        <v>521</v>
      </c>
      <c r="E567" s="115"/>
      <c r="F567" s="115">
        <v>430</v>
      </c>
      <c r="G567" s="117" t="s">
        <v>363</v>
      </c>
      <c r="H567" s="118">
        <f t="shared" si="39"/>
        <v>0</v>
      </c>
      <c r="I567" s="118"/>
      <c r="J567" s="118"/>
      <c r="K567" s="119"/>
      <c r="L567" s="123"/>
      <c r="M567" s="118"/>
      <c r="N567" s="118"/>
    </row>
    <row r="568" spans="1:14" s="121" customFormat="1" ht="23.25" customHeight="1">
      <c r="A568" s="136" t="s">
        <v>425</v>
      </c>
      <c r="B568" s="115"/>
      <c r="C568" s="115">
        <v>440</v>
      </c>
      <c r="D568" s="116" t="s">
        <v>521</v>
      </c>
      <c r="E568" s="115"/>
      <c r="F568" s="115">
        <v>440</v>
      </c>
      <c r="G568" s="117" t="s">
        <v>363</v>
      </c>
      <c r="H568" s="118">
        <f>M568</f>
        <v>0</v>
      </c>
      <c r="I568" s="118"/>
      <c r="J568" s="118"/>
      <c r="K568" s="119"/>
      <c r="L568" s="123"/>
      <c r="M568" s="118"/>
      <c r="N568" s="118"/>
    </row>
    <row r="569" spans="1:14" s="128" customFormat="1" ht="23.25" customHeight="1">
      <c r="A569" s="136" t="s">
        <v>377</v>
      </c>
      <c r="B569" s="115"/>
      <c r="C569" s="115">
        <v>450</v>
      </c>
      <c r="D569" s="116" t="s">
        <v>521</v>
      </c>
      <c r="E569" s="115"/>
      <c r="F569" s="115">
        <v>450</v>
      </c>
      <c r="G569" s="117" t="s">
        <v>363</v>
      </c>
      <c r="H569" s="118">
        <f>M569</f>
        <v>0</v>
      </c>
      <c r="I569" s="118"/>
      <c r="J569" s="118"/>
      <c r="K569" s="119"/>
      <c r="L569" s="123"/>
      <c r="M569" s="118"/>
      <c r="N569" s="118"/>
    </row>
    <row r="570" spans="1:14" s="8" customFormat="1" ht="11.25" customHeight="1">
      <c r="A570" s="137" t="s">
        <v>44</v>
      </c>
      <c r="B570" s="138">
        <v>200</v>
      </c>
      <c r="C570" s="138"/>
      <c r="D570" s="138"/>
      <c r="E570" s="138"/>
      <c r="F570" s="139"/>
      <c r="G570" s="139"/>
      <c r="H570" s="140">
        <f aca="true" t="shared" si="40" ref="H570:N570">H572+H595+H606+H622+H623+H627</f>
        <v>63884254.97</v>
      </c>
      <c r="I570" s="140">
        <f t="shared" si="40"/>
        <v>49432260.64</v>
      </c>
      <c r="J570" s="140">
        <f>J572+J595+J606+J622+J623+J627</f>
        <v>906467.97</v>
      </c>
      <c r="K570" s="140">
        <f t="shared" si="40"/>
        <v>0</v>
      </c>
      <c r="L570" s="140">
        <f t="shared" si="40"/>
        <v>0</v>
      </c>
      <c r="M570" s="140">
        <f>M572+M606+M627</f>
        <v>13545526.36</v>
      </c>
      <c r="N570" s="140">
        <f t="shared" si="40"/>
        <v>0</v>
      </c>
    </row>
    <row r="571" spans="1:14" s="8" customFormat="1" ht="13.5" customHeight="1">
      <c r="A571" s="141" t="s">
        <v>4</v>
      </c>
      <c r="B571" s="109"/>
      <c r="C571" s="109"/>
      <c r="D571" s="109"/>
      <c r="E571" s="109"/>
      <c r="F571" s="109"/>
      <c r="G571" s="110"/>
      <c r="H571" s="125"/>
      <c r="I571" s="125"/>
      <c r="J571" s="125"/>
      <c r="K571" s="113"/>
      <c r="L571" s="113"/>
      <c r="M571" s="113"/>
      <c r="N571" s="113"/>
    </row>
    <row r="572" spans="1:14" s="8" customFormat="1" ht="13.5" customHeight="1">
      <c r="A572" s="141" t="s">
        <v>296</v>
      </c>
      <c r="B572" s="109">
        <v>210</v>
      </c>
      <c r="C572" s="109"/>
      <c r="D572" s="109"/>
      <c r="E572" s="109"/>
      <c r="F572" s="109"/>
      <c r="G572" s="110"/>
      <c r="H572" s="125">
        <f>H574</f>
        <v>41339248.49</v>
      </c>
      <c r="I572" s="125">
        <f>I574+I585</f>
        <v>36305946.660000004</v>
      </c>
      <c r="J572" s="125">
        <f>J574</f>
        <v>662561.97</v>
      </c>
      <c r="K572" s="125">
        <f>K574</f>
        <v>0</v>
      </c>
      <c r="L572" s="125">
        <f>L574</f>
        <v>0</v>
      </c>
      <c r="M572" s="125">
        <f>M574</f>
        <v>4370739.859999999</v>
      </c>
      <c r="N572" s="125">
        <f>N574</f>
        <v>0</v>
      </c>
    </row>
    <row r="573" spans="1:14" s="8" customFormat="1" ht="13.5" customHeight="1">
      <c r="A573" s="142" t="s">
        <v>3</v>
      </c>
      <c r="B573" s="115"/>
      <c r="C573" s="115"/>
      <c r="D573" s="115"/>
      <c r="E573" s="115"/>
      <c r="F573" s="115"/>
      <c r="G573" s="122"/>
      <c r="H573" s="118"/>
      <c r="I573" s="125"/>
      <c r="J573" s="125"/>
      <c r="K573" s="113"/>
      <c r="L573" s="113"/>
      <c r="M573" s="113"/>
      <c r="N573" s="113"/>
    </row>
    <row r="574" spans="1:14" s="8" customFormat="1" ht="25.5" customHeight="1">
      <c r="A574" s="142" t="s">
        <v>297</v>
      </c>
      <c r="B574" s="115">
        <v>211</v>
      </c>
      <c r="C574" s="115"/>
      <c r="D574" s="115"/>
      <c r="E574" s="115"/>
      <c r="F574" s="115"/>
      <c r="G574" s="122"/>
      <c r="H574" s="118">
        <f>SUM(H576:H593)</f>
        <v>41339248.49</v>
      </c>
      <c r="I574" s="125">
        <f>I576+I584+I586+I587+I577+I578+I588+I589</f>
        <v>36304566.660000004</v>
      </c>
      <c r="J574" s="125">
        <f>SUM(J576:J592)</f>
        <v>662561.97</v>
      </c>
      <c r="K574" s="125">
        <f>K576+K584+K586+K587</f>
        <v>0</v>
      </c>
      <c r="L574" s="125">
        <f>L576+L584+L586+L587</f>
        <v>0</v>
      </c>
      <c r="M574" s="125">
        <f>SUM(M576:M594)</f>
        <v>4370739.859999999</v>
      </c>
      <c r="N574" s="125">
        <f>N576+N584+N586+N587</f>
        <v>0</v>
      </c>
    </row>
    <row r="575" spans="1:14" s="8" customFormat="1" ht="16.5" customHeight="1">
      <c r="A575" s="142" t="s">
        <v>4</v>
      </c>
      <c r="B575" s="115"/>
      <c r="C575" s="115"/>
      <c r="D575" s="115"/>
      <c r="E575" s="115"/>
      <c r="F575" s="115"/>
      <c r="G575" s="122"/>
      <c r="H575" s="118"/>
      <c r="I575" s="125"/>
      <c r="J575" s="125"/>
      <c r="K575" s="113"/>
      <c r="L575" s="113"/>
      <c r="M575" s="113"/>
      <c r="N575" s="113"/>
    </row>
    <row r="576" spans="1:14" s="8" customFormat="1" ht="16.5" customHeight="1">
      <c r="A576" s="142" t="s">
        <v>298</v>
      </c>
      <c r="B576" s="115"/>
      <c r="C576" s="115">
        <v>211</v>
      </c>
      <c r="D576" s="115">
        <v>800000000</v>
      </c>
      <c r="E576" s="115">
        <v>111</v>
      </c>
      <c r="F576" s="115">
        <v>211</v>
      </c>
      <c r="G576" s="102" t="s">
        <v>523</v>
      </c>
      <c r="H576" s="118">
        <f aca="true" t="shared" si="41" ref="H576:H581">I576+J576+K576+L576+M576+N576</f>
        <v>19814428.33</v>
      </c>
      <c r="I576" s="125">
        <f>17923864.13+1890564.2</f>
        <v>19814428.33</v>
      </c>
      <c r="J576" s="125"/>
      <c r="K576" s="113"/>
      <c r="L576" s="113"/>
      <c r="M576" s="113"/>
      <c r="N576" s="113"/>
    </row>
    <row r="577" spans="1:14" s="8" customFormat="1" ht="16.5" customHeight="1">
      <c r="A577" s="142" t="s">
        <v>298</v>
      </c>
      <c r="B577" s="487"/>
      <c r="C577" s="487">
        <v>211</v>
      </c>
      <c r="D577" s="489">
        <v>800000000</v>
      </c>
      <c r="E577" s="487">
        <v>111</v>
      </c>
      <c r="F577" s="487">
        <v>211</v>
      </c>
      <c r="G577" s="490" t="s">
        <v>825</v>
      </c>
      <c r="H577" s="491">
        <f t="shared" si="41"/>
        <v>8069263.48</v>
      </c>
      <c r="I577" s="486">
        <v>8069263.48</v>
      </c>
      <c r="J577" s="125"/>
      <c r="K577" s="113"/>
      <c r="L577" s="113"/>
      <c r="M577" s="113"/>
      <c r="N577" s="113"/>
    </row>
    <row r="578" spans="1:14" s="8" customFormat="1" ht="16.5" customHeight="1">
      <c r="A578" s="142" t="s">
        <v>298</v>
      </c>
      <c r="B578" s="487"/>
      <c r="C578" s="487">
        <v>211</v>
      </c>
      <c r="D578" s="489">
        <v>800000000</v>
      </c>
      <c r="E578" s="487">
        <v>111</v>
      </c>
      <c r="F578" s="487">
        <v>211</v>
      </c>
      <c r="G578" s="490" t="s">
        <v>523</v>
      </c>
      <c r="H578" s="491">
        <f t="shared" si="41"/>
        <v>0</v>
      </c>
      <c r="I578" s="486"/>
      <c r="J578" s="125"/>
      <c r="K578" s="113"/>
      <c r="L578" s="113"/>
      <c r="M578" s="113"/>
      <c r="N578" s="113"/>
    </row>
    <row r="579" spans="1:14" s="8" customFormat="1" ht="16.5" customHeight="1">
      <c r="A579" s="142" t="s">
        <v>298</v>
      </c>
      <c r="B579" s="487"/>
      <c r="C579" s="487">
        <v>211</v>
      </c>
      <c r="D579" s="489">
        <v>901480000</v>
      </c>
      <c r="E579" s="487">
        <v>111</v>
      </c>
      <c r="F579" s="487">
        <v>211</v>
      </c>
      <c r="G579" s="500" t="s">
        <v>523</v>
      </c>
      <c r="H579" s="491">
        <f t="shared" si="41"/>
        <v>279864.68</v>
      </c>
      <c r="I579" s="485">
        <v>0</v>
      </c>
      <c r="J579" s="486">
        <v>279864.68</v>
      </c>
      <c r="K579" s="113"/>
      <c r="L579" s="113"/>
      <c r="M579" s="113"/>
      <c r="N579" s="113"/>
    </row>
    <row r="580" spans="1:14" s="8" customFormat="1" ht="16.5" customHeight="1">
      <c r="A580" s="142" t="s">
        <v>298</v>
      </c>
      <c r="B580" s="487"/>
      <c r="C580" s="487">
        <v>211</v>
      </c>
      <c r="D580" s="489">
        <v>901160000</v>
      </c>
      <c r="E580" s="487">
        <v>111</v>
      </c>
      <c r="F580" s="487">
        <v>211</v>
      </c>
      <c r="G580" s="500" t="s">
        <v>523</v>
      </c>
      <c r="H580" s="491">
        <f t="shared" si="41"/>
        <v>99526.11</v>
      </c>
      <c r="I580" s="485">
        <v>0</v>
      </c>
      <c r="J580" s="486">
        <v>99526.11</v>
      </c>
      <c r="K580" s="113"/>
      <c r="L580" s="113"/>
      <c r="M580" s="113"/>
      <c r="N580" s="113"/>
    </row>
    <row r="581" spans="1:14" s="8" customFormat="1" ht="16.5" customHeight="1">
      <c r="A581" s="142" t="s">
        <v>298</v>
      </c>
      <c r="B581" s="487"/>
      <c r="C581" s="487">
        <v>211</v>
      </c>
      <c r="D581" s="489">
        <v>901830000</v>
      </c>
      <c r="E581" s="487">
        <v>111</v>
      </c>
      <c r="F581" s="487">
        <v>211</v>
      </c>
      <c r="G581" s="500" t="s">
        <v>523</v>
      </c>
      <c r="H581" s="491">
        <f t="shared" si="41"/>
        <v>52685.08</v>
      </c>
      <c r="I581" s="485">
        <v>0</v>
      </c>
      <c r="J581" s="486">
        <v>52685.08</v>
      </c>
      <c r="K581" s="113"/>
      <c r="L581" s="113"/>
      <c r="M581" s="113"/>
      <c r="N581" s="113"/>
    </row>
    <row r="582" spans="1:14" s="8" customFormat="1" ht="16.5" customHeight="1">
      <c r="A582" s="142" t="s">
        <v>298</v>
      </c>
      <c r="B582" s="115"/>
      <c r="C582" s="115">
        <v>211</v>
      </c>
      <c r="D582" s="116" t="s">
        <v>521</v>
      </c>
      <c r="E582" s="115">
        <v>111</v>
      </c>
      <c r="F582" s="115">
        <v>211</v>
      </c>
      <c r="G582" s="102" t="s">
        <v>530</v>
      </c>
      <c r="H582" s="118">
        <f>SUM(I582:M582)</f>
        <v>3356945.7699999996</v>
      </c>
      <c r="I582" s="125"/>
      <c r="J582" s="125"/>
      <c r="K582" s="113"/>
      <c r="L582" s="113"/>
      <c r="M582" s="113">
        <f>2128645.86+1228299.91</f>
        <v>3356945.7699999996</v>
      </c>
      <c r="N582" s="113"/>
    </row>
    <row r="583" spans="1:14" s="8" customFormat="1" ht="16.5" customHeight="1" hidden="1">
      <c r="A583" s="142" t="s">
        <v>298</v>
      </c>
      <c r="B583" s="487"/>
      <c r="C583" s="489">
        <v>211</v>
      </c>
      <c r="D583" s="488" t="s">
        <v>521</v>
      </c>
      <c r="E583" s="489">
        <v>111</v>
      </c>
      <c r="F583" s="489">
        <v>211</v>
      </c>
      <c r="G583" s="494" t="s">
        <v>530</v>
      </c>
      <c r="H583" s="491">
        <f aca="true" t="shared" si="42" ref="H583:H592">I583+J583+K583+L583+M583+N583</f>
        <v>0</v>
      </c>
      <c r="I583" s="485">
        <v>0</v>
      </c>
      <c r="J583" s="485">
        <v>0</v>
      </c>
      <c r="K583" s="113">
        <v>0</v>
      </c>
      <c r="L583" s="113">
        <v>0</v>
      </c>
      <c r="M583" s="497"/>
      <c r="N583" s="113"/>
    </row>
    <row r="584" spans="1:14" s="8" customFormat="1" ht="16.5" customHeight="1">
      <c r="A584" s="142" t="s">
        <v>299</v>
      </c>
      <c r="B584" s="115"/>
      <c r="C584" s="115">
        <v>211</v>
      </c>
      <c r="D584" s="115"/>
      <c r="E584" s="115">
        <v>111</v>
      </c>
      <c r="F584" s="115">
        <v>211</v>
      </c>
      <c r="G584" s="122"/>
      <c r="H584" s="118">
        <f t="shared" si="42"/>
        <v>0</v>
      </c>
      <c r="I584" s="125"/>
      <c r="J584" s="125"/>
      <c r="K584" s="113"/>
      <c r="L584" s="113"/>
      <c r="M584" s="113"/>
      <c r="N584" s="113"/>
    </row>
    <row r="585" spans="1:14" s="8" customFormat="1" ht="16.5" customHeight="1">
      <c r="A585" s="142" t="s">
        <v>300</v>
      </c>
      <c r="B585" s="487"/>
      <c r="C585" s="489">
        <v>266</v>
      </c>
      <c r="D585" s="489">
        <v>800000000</v>
      </c>
      <c r="E585" s="489">
        <v>112</v>
      </c>
      <c r="F585" s="489">
        <v>266</v>
      </c>
      <c r="G585" s="490" t="s">
        <v>825</v>
      </c>
      <c r="H585" s="491">
        <f t="shared" si="42"/>
        <v>1380</v>
      </c>
      <c r="I585" s="486">
        <f>690*2</f>
        <v>1380</v>
      </c>
      <c r="J585" s="125"/>
      <c r="K585" s="113"/>
      <c r="L585" s="113"/>
      <c r="M585" s="113"/>
      <c r="N585" s="113"/>
    </row>
    <row r="586" spans="1:14" s="8" customFormat="1" ht="54" customHeight="1">
      <c r="A586" s="142" t="s">
        <v>842</v>
      </c>
      <c r="B586" s="487"/>
      <c r="C586" s="489">
        <v>266</v>
      </c>
      <c r="D586" s="489">
        <v>901480000</v>
      </c>
      <c r="E586" s="489">
        <v>112</v>
      </c>
      <c r="F586" s="489">
        <v>266</v>
      </c>
      <c r="G586" s="500" t="s">
        <v>523</v>
      </c>
      <c r="H586" s="491">
        <f t="shared" si="42"/>
        <v>100000</v>
      </c>
      <c r="I586" s="485">
        <v>0</v>
      </c>
      <c r="J586" s="486">
        <v>100000</v>
      </c>
      <c r="K586" s="113"/>
      <c r="L586" s="113"/>
      <c r="M586" s="113"/>
      <c r="N586" s="113"/>
    </row>
    <row r="587" spans="1:14" s="8" customFormat="1" ht="15.75" customHeight="1">
      <c r="A587" s="142" t="s">
        <v>301</v>
      </c>
      <c r="B587" s="115"/>
      <c r="C587" s="115">
        <v>213</v>
      </c>
      <c r="D587" s="115">
        <v>800000000</v>
      </c>
      <c r="E587" s="115">
        <v>119</v>
      </c>
      <c r="F587" s="115">
        <v>213</v>
      </c>
      <c r="G587" s="102" t="s">
        <v>523</v>
      </c>
      <c r="H587" s="118">
        <f t="shared" si="42"/>
        <v>5934918.67</v>
      </c>
      <c r="I587" s="125">
        <f>5413006.97+521911.7</f>
        <v>5934918.67</v>
      </c>
      <c r="J587" s="125"/>
      <c r="K587" s="113"/>
      <c r="L587" s="113"/>
      <c r="M587" s="113"/>
      <c r="N587" s="113"/>
    </row>
    <row r="588" spans="1:14" s="8" customFormat="1" ht="15.75" customHeight="1">
      <c r="A588" s="142" t="s">
        <v>301</v>
      </c>
      <c r="B588" s="487"/>
      <c r="C588" s="489">
        <v>213</v>
      </c>
      <c r="D588" s="489">
        <v>800000000</v>
      </c>
      <c r="E588" s="489">
        <v>119</v>
      </c>
      <c r="F588" s="489">
        <v>213</v>
      </c>
      <c r="G588" s="490" t="s">
        <v>523</v>
      </c>
      <c r="H588" s="491">
        <f t="shared" si="42"/>
        <v>2485956.18</v>
      </c>
      <c r="I588" s="486">
        <v>2485956.18</v>
      </c>
      <c r="J588" s="125"/>
      <c r="K588" s="113"/>
      <c r="L588" s="113"/>
      <c r="M588" s="113"/>
      <c r="N588" s="113"/>
    </row>
    <row r="589" spans="1:14" s="8" customFormat="1" ht="15.75" customHeight="1">
      <c r="A589" s="142" t="s">
        <v>301</v>
      </c>
      <c r="B589" s="487"/>
      <c r="C589" s="487">
        <v>213</v>
      </c>
      <c r="D589" s="489">
        <v>800000000</v>
      </c>
      <c r="E589" s="487">
        <v>119</v>
      </c>
      <c r="F589" s="487">
        <v>213</v>
      </c>
      <c r="G589" s="490" t="s">
        <v>523</v>
      </c>
      <c r="H589" s="491">
        <f t="shared" si="42"/>
        <v>0</v>
      </c>
      <c r="I589" s="486"/>
      <c r="J589" s="125"/>
      <c r="K589" s="113"/>
      <c r="L589" s="113"/>
      <c r="M589" s="113"/>
      <c r="N589" s="113"/>
    </row>
    <row r="590" spans="1:14" s="8" customFormat="1" ht="15.75" customHeight="1">
      <c r="A590" s="142" t="s">
        <v>301</v>
      </c>
      <c r="B590" s="487"/>
      <c r="C590" s="489">
        <v>213</v>
      </c>
      <c r="D590" s="489">
        <v>901480000</v>
      </c>
      <c r="E590" s="489">
        <v>119</v>
      </c>
      <c r="F590" s="489">
        <v>213</v>
      </c>
      <c r="G590" s="500" t="s">
        <v>523</v>
      </c>
      <c r="H590" s="491">
        <f t="shared" si="42"/>
        <v>84518.32</v>
      </c>
      <c r="I590" s="485">
        <v>0</v>
      </c>
      <c r="J590" s="486">
        <v>84518.32</v>
      </c>
      <c r="K590" s="113"/>
      <c r="L590" s="113"/>
      <c r="M590" s="113"/>
      <c r="N590" s="113"/>
    </row>
    <row r="591" spans="1:14" s="8" customFormat="1" ht="15.75" customHeight="1">
      <c r="A591" s="142" t="s">
        <v>301</v>
      </c>
      <c r="B591" s="487"/>
      <c r="C591" s="489">
        <v>213</v>
      </c>
      <c r="D591" s="489">
        <v>901160000</v>
      </c>
      <c r="E591" s="489">
        <v>119</v>
      </c>
      <c r="F591" s="489">
        <v>213</v>
      </c>
      <c r="G591" s="500" t="s">
        <v>523</v>
      </c>
      <c r="H591" s="491">
        <f t="shared" si="42"/>
        <v>30056.89</v>
      </c>
      <c r="I591" s="485">
        <v>0</v>
      </c>
      <c r="J591" s="486">
        <v>30056.89</v>
      </c>
      <c r="K591" s="113"/>
      <c r="L591" s="113"/>
      <c r="M591" s="113"/>
      <c r="N591" s="113"/>
    </row>
    <row r="592" spans="1:14" s="8" customFormat="1" ht="15.75" customHeight="1">
      <c r="A592" s="142" t="s">
        <v>301</v>
      </c>
      <c r="B592" s="487"/>
      <c r="C592" s="489">
        <v>213</v>
      </c>
      <c r="D592" s="489">
        <v>901830000</v>
      </c>
      <c r="E592" s="489">
        <v>119</v>
      </c>
      <c r="F592" s="489">
        <v>213</v>
      </c>
      <c r="G592" s="500" t="s">
        <v>523</v>
      </c>
      <c r="H592" s="491">
        <f t="shared" si="42"/>
        <v>15910.89</v>
      </c>
      <c r="I592" s="485">
        <v>0</v>
      </c>
      <c r="J592" s="486">
        <v>15910.89</v>
      </c>
      <c r="K592" s="113"/>
      <c r="L592" s="113"/>
      <c r="M592" s="113"/>
      <c r="N592" s="113"/>
    </row>
    <row r="593" spans="1:14" s="8" customFormat="1" ht="15.75" customHeight="1">
      <c r="A593" s="142" t="s">
        <v>301</v>
      </c>
      <c r="B593" s="115"/>
      <c r="C593" s="115">
        <v>213</v>
      </c>
      <c r="D593" s="116" t="s">
        <v>521</v>
      </c>
      <c r="E593" s="115">
        <v>119</v>
      </c>
      <c r="F593" s="115">
        <v>213</v>
      </c>
      <c r="G593" s="102" t="s">
        <v>530</v>
      </c>
      <c r="H593" s="118">
        <f>SUM(I593:M593)</f>
        <v>1013794.0900000001</v>
      </c>
      <c r="I593" s="125"/>
      <c r="J593" s="125"/>
      <c r="K593" s="113"/>
      <c r="L593" s="113"/>
      <c r="M593" s="113">
        <f>642847.4+370946.69</f>
        <v>1013794.0900000001</v>
      </c>
      <c r="N593" s="113"/>
    </row>
    <row r="594" spans="1:14" s="8" customFormat="1" ht="15.75" customHeight="1" hidden="1">
      <c r="A594" s="142" t="s">
        <v>301</v>
      </c>
      <c r="B594" s="487"/>
      <c r="C594" s="487">
        <v>213</v>
      </c>
      <c r="D594" s="488" t="s">
        <v>521</v>
      </c>
      <c r="E594" s="487">
        <v>119</v>
      </c>
      <c r="F594" s="487">
        <v>213</v>
      </c>
      <c r="G594" s="494" t="s">
        <v>530</v>
      </c>
      <c r="H594" s="491">
        <f>I594+J594+K594+L594+M594+N594</f>
        <v>0</v>
      </c>
      <c r="I594" s="485">
        <v>0</v>
      </c>
      <c r="J594" s="485">
        <v>0</v>
      </c>
      <c r="K594" s="113">
        <v>0</v>
      </c>
      <c r="L594" s="113">
        <v>0</v>
      </c>
      <c r="M594" s="497"/>
      <c r="N594" s="113"/>
    </row>
    <row r="595" spans="1:14" s="8" customFormat="1" ht="18.75" customHeight="1">
      <c r="A595" s="142" t="s">
        <v>399</v>
      </c>
      <c r="B595" s="115">
        <v>220</v>
      </c>
      <c r="C595" s="115"/>
      <c r="D595" s="115"/>
      <c r="E595" s="115"/>
      <c r="F595" s="115"/>
      <c r="G595" s="115"/>
      <c r="H595" s="120">
        <f>SUM(I595:M595)</f>
        <v>243906</v>
      </c>
      <c r="I595" s="113">
        <f>I597+I602+I603+I604+I605</f>
        <v>0</v>
      </c>
      <c r="J595" s="113">
        <f>J598+J602</f>
        <v>243906</v>
      </c>
      <c r="K595" s="113">
        <f>K597+K602+K603+K604+K605</f>
        <v>0</v>
      </c>
      <c r="L595" s="113">
        <f>L597+L602+L603+L604+L605</f>
        <v>0</v>
      </c>
      <c r="M595" s="113">
        <f>M597+M602+M603+M604+M605</f>
        <v>0</v>
      </c>
      <c r="N595" s="113">
        <f>N597+N602+N603+N604+N605</f>
        <v>0</v>
      </c>
    </row>
    <row r="596" spans="1:14" s="8" customFormat="1" ht="15.75" customHeight="1">
      <c r="A596" s="142" t="s">
        <v>3</v>
      </c>
      <c r="B596" s="115"/>
      <c r="C596" s="115"/>
      <c r="D596" s="115"/>
      <c r="E596" s="115"/>
      <c r="F596" s="115"/>
      <c r="G596" s="122"/>
      <c r="H596" s="118"/>
      <c r="I596" s="125"/>
      <c r="J596" s="125"/>
      <c r="K596" s="113"/>
      <c r="L596" s="113"/>
      <c r="M596" s="113"/>
      <c r="N596" s="113"/>
    </row>
    <row r="597" spans="1:14" s="8" customFormat="1" ht="39" customHeight="1">
      <c r="A597" s="143" t="s">
        <v>302</v>
      </c>
      <c r="B597" s="144"/>
      <c r="C597" s="145">
        <v>263</v>
      </c>
      <c r="D597" s="115">
        <v>901140000</v>
      </c>
      <c r="E597" s="115">
        <v>323</v>
      </c>
      <c r="F597" s="145">
        <v>263</v>
      </c>
      <c r="G597" s="146" t="s">
        <v>523</v>
      </c>
      <c r="H597" s="118">
        <f aca="true" t="shared" si="43" ref="H597:H605">I597+J597+K597+L597+M597+N597</f>
        <v>0</v>
      </c>
      <c r="I597" s="125"/>
      <c r="J597" s="125">
        <v>0</v>
      </c>
      <c r="K597" s="113"/>
      <c r="L597" s="113"/>
      <c r="M597" s="113"/>
      <c r="N597" s="113"/>
    </row>
    <row r="598" spans="1:14" s="8" customFormat="1" ht="39" customHeight="1">
      <c r="A598" s="136" t="s">
        <v>39</v>
      </c>
      <c r="B598" s="487"/>
      <c r="C598" s="489">
        <v>263</v>
      </c>
      <c r="D598" s="489"/>
      <c r="E598" s="489">
        <v>323</v>
      </c>
      <c r="F598" s="489">
        <v>263</v>
      </c>
      <c r="G598" s="518"/>
      <c r="H598" s="491">
        <f t="shared" si="43"/>
        <v>230044</v>
      </c>
      <c r="I598" s="485">
        <v>0</v>
      </c>
      <c r="J598" s="486">
        <f>SUM(J599:J601)</f>
        <v>230044</v>
      </c>
      <c r="K598" s="113"/>
      <c r="L598" s="113"/>
      <c r="M598" s="113"/>
      <c r="N598" s="113"/>
    </row>
    <row r="599" spans="1:14" s="8" customFormat="1" ht="39" customHeight="1">
      <c r="A599" s="114" t="s">
        <v>833</v>
      </c>
      <c r="B599" s="487"/>
      <c r="C599" s="489">
        <v>263</v>
      </c>
      <c r="D599" s="489">
        <v>901140000</v>
      </c>
      <c r="E599" s="489">
        <v>323</v>
      </c>
      <c r="F599" s="489">
        <v>263</v>
      </c>
      <c r="G599" s="500" t="s">
        <v>523</v>
      </c>
      <c r="H599" s="491">
        <f t="shared" si="43"/>
        <v>56596</v>
      </c>
      <c r="I599" s="485">
        <v>0</v>
      </c>
      <c r="J599" s="486">
        <v>56596</v>
      </c>
      <c r="K599" s="113"/>
      <c r="L599" s="113"/>
      <c r="M599" s="113"/>
      <c r="N599" s="113"/>
    </row>
    <row r="600" spans="1:14" s="8" customFormat="1" ht="39" customHeight="1">
      <c r="A600" s="114" t="s">
        <v>835</v>
      </c>
      <c r="B600" s="487"/>
      <c r="C600" s="489">
        <v>263</v>
      </c>
      <c r="D600" s="489">
        <v>901150000</v>
      </c>
      <c r="E600" s="489">
        <v>323</v>
      </c>
      <c r="F600" s="489">
        <v>263</v>
      </c>
      <c r="G600" s="500" t="s">
        <v>523</v>
      </c>
      <c r="H600" s="491">
        <f t="shared" si="43"/>
        <v>67915</v>
      </c>
      <c r="I600" s="485">
        <v>0</v>
      </c>
      <c r="J600" s="486">
        <v>67915</v>
      </c>
      <c r="K600" s="113"/>
      <c r="L600" s="113"/>
      <c r="M600" s="113"/>
      <c r="N600" s="113"/>
    </row>
    <row r="601" spans="1:14" s="8" customFormat="1" ht="39" customHeight="1">
      <c r="A601" s="114" t="s">
        <v>241</v>
      </c>
      <c r="B601" s="487"/>
      <c r="C601" s="489">
        <v>263</v>
      </c>
      <c r="D601" s="502">
        <v>901210000</v>
      </c>
      <c r="E601" s="489">
        <v>323</v>
      </c>
      <c r="F601" s="489">
        <v>263</v>
      </c>
      <c r="G601" s="492" t="s">
        <v>518</v>
      </c>
      <c r="H601" s="491">
        <f t="shared" si="43"/>
        <v>105533</v>
      </c>
      <c r="I601" s="485">
        <v>0</v>
      </c>
      <c r="J601" s="486">
        <v>105533</v>
      </c>
      <c r="K601" s="113"/>
      <c r="L601" s="113"/>
      <c r="M601" s="113"/>
      <c r="N601" s="113"/>
    </row>
    <row r="602" spans="1:14" s="8" customFormat="1" ht="33.75" customHeight="1">
      <c r="A602" s="136" t="s">
        <v>39</v>
      </c>
      <c r="B602" s="115"/>
      <c r="C602" s="115">
        <v>262</v>
      </c>
      <c r="D602" s="115">
        <v>901140000</v>
      </c>
      <c r="E602" s="115">
        <v>321</v>
      </c>
      <c r="F602" s="115">
        <v>262</v>
      </c>
      <c r="G602" s="146" t="s">
        <v>523</v>
      </c>
      <c r="H602" s="118">
        <f t="shared" si="43"/>
        <v>13862</v>
      </c>
      <c r="I602" s="125"/>
      <c r="J602" s="160">
        <v>13862</v>
      </c>
      <c r="K602" s="113"/>
      <c r="L602" s="113"/>
      <c r="M602" s="113"/>
      <c r="N602" s="113"/>
    </row>
    <row r="603" spans="1:14" s="8" customFormat="1" ht="15.75" customHeight="1">
      <c r="A603" s="136" t="s">
        <v>303</v>
      </c>
      <c r="B603" s="115"/>
      <c r="C603" s="115"/>
      <c r="D603" s="115"/>
      <c r="E603" s="115"/>
      <c r="F603" s="115"/>
      <c r="G603" s="122"/>
      <c r="H603" s="118">
        <f t="shared" si="43"/>
        <v>0</v>
      </c>
      <c r="I603" s="125"/>
      <c r="J603" s="125"/>
      <c r="K603" s="113"/>
      <c r="L603" s="113"/>
      <c r="M603" s="113"/>
      <c r="N603" s="113"/>
    </row>
    <row r="604" spans="1:14" s="8" customFormat="1" ht="15.75" customHeight="1">
      <c r="A604" s="136" t="s">
        <v>304</v>
      </c>
      <c r="B604" s="115"/>
      <c r="C604" s="115">
        <v>290</v>
      </c>
      <c r="D604" s="115"/>
      <c r="E604" s="115">
        <v>350</v>
      </c>
      <c r="F604" s="115">
        <v>290</v>
      </c>
      <c r="G604" s="122"/>
      <c r="H604" s="118">
        <f t="shared" si="43"/>
        <v>0</v>
      </c>
      <c r="I604" s="125"/>
      <c r="J604" s="125"/>
      <c r="K604" s="113"/>
      <c r="L604" s="113"/>
      <c r="M604" s="113"/>
      <c r="N604" s="113"/>
    </row>
    <row r="605" spans="1:14" s="8" customFormat="1" ht="15.75" customHeight="1">
      <c r="A605" s="136" t="s">
        <v>305</v>
      </c>
      <c r="B605" s="115"/>
      <c r="C605" s="115"/>
      <c r="D605" s="115"/>
      <c r="E605" s="115"/>
      <c r="F605" s="115"/>
      <c r="G605" s="122"/>
      <c r="H605" s="118">
        <f t="shared" si="43"/>
        <v>0</v>
      </c>
      <c r="I605" s="125"/>
      <c r="J605" s="125"/>
      <c r="K605" s="113"/>
      <c r="L605" s="113"/>
      <c r="M605" s="113"/>
      <c r="N605" s="113"/>
    </row>
    <row r="606" spans="1:14" s="8" customFormat="1" ht="24.75" customHeight="1">
      <c r="A606" s="136" t="s">
        <v>306</v>
      </c>
      <c r="B606" s="115">
        <v>230</v>
      </c>
      <c r="C606" s="115"/>
      <c r="D606" s="115"/>
      <c r="E606" s="115"/>
      <c r="F606" s="115"/>
      <c r="G606" s="122"/>
      <c r="H606" s="118">
        <f aca="true" t="shared" si="44" ref="H606:N606">H607+H610</f>
        <v>4441633</v>
      </c>
      <c r="I606" s="125">
        <f t="shared" si="44"/>
        <v>4041887</v>
      </c>
      <c r="J606" s="125">
        <f t="shared" si="44"/>
        <v>0</v>
      </c>
      <c r="K606" s="125">
        <f t="shared" si="44"/>
        <v>0</v>
      </c>
      <c r="L606" s="125">
        <f t="shared" si="44"/>
        <v>0</v>
      </c>
      <c r="M606" s="125">
        <f t="shared" si="44"/>
        <v>399746</v>
      </c>
      <c r="N606" s="125">
        <f t="shared" si="44"/>
        <v>0</v>
      </c>
    </row>
    <row r="607" spans="1:14" s="8" customFormat="1" ht="15.75" customHeight="1">
      <c r="A607" s="142" t="s">
        <v>3</v>
      </c>
      <c r="B607" s="115"/>
      <c r="C607" s="115"/>
      <c r="D607" s="115"/>
      <c r="E607" s="115"/>
      <c r="F607" s="115"/>
      <c r="G607" s="122"/>
      <c r="H607" s="118">
        <f aca="true" t="shared" si="45" ref="H607:N607">H608+H609</f>
        <v>4441633</v>
      </c>
      <c r="I607" s="125">
        <f t="shared" si="45"/>
        <v>4041887</v>
      </c>
      <c r="J607" s="125">
        <f t="shared" si="45"/>
        <v>0</v>
      </c>
      <c r="K607" s="125">
        <f t="shared" si="45"/>
        <v>0</v>
      </c>
      <c r="L607" s="125">
        <f t="shared" si="45"/>
        <v>0</v>
      </c>
      <c r="M607" s="125">
        <f t="shared" si="45"/>
        <v>399746</v>
      </c>
      <c r="N607" s="125">
        <f t="shared" si="45"/>
        <v>0</v>
      </c>
    </row>
    <row r="608" spans="1:14" s="8" customFormat="1" ht="15.75" customHeight="1">
      <c r="A608" s="142" t="s">
        <v>307</v>
      </c>
      <c r="B608" s="115"/>
      <c r="C608" s="115">
        <v>290</v>
      </c>
      <c r="D608" s="115"/>
      <c r="E608" s="115">
        <v>831</v>
      </c>
      <c r="F608" s="115">
        <v>290</v>
      </c>
      <c r="G608" s="122"/>
      <c r="H608" s="118">
        <f>I608+J608+K608+L608+M608+N608</f>
        <v>0</v>
      </c>
      <c r="I608" s="125"/>
      <c r="J608" s="125"/>
      <c r="K608" s="113"/>
      <c r="L608" s="113"/>
      <c r="M608" s="113"/>
      <c r="N608" s="113"/>
    </row>
    <row r="609" spans="1:14" s="8" customFormat="1" ht="15.75" customHeight="1">
      <c r="A609" s="142" t="s">
        <v>308</v>
      </c>
      <c r="B609" s="115"/>
      <c r="C609" s="115">
        <v>290</v>
      </c>
      <c r="D609" s="115"/>
      <c r="E609" s="115">
        <v>850</v>
      </c>
      <c r="F609" s="115">
        <v>290</v>
      </c>
      <c r="G609" s="122"/>
      <c r="H609" s="118">
        <f>I609+J609+K609+L609+M609+N609</f>
        <v>4441633</v>
      </c>
      <c r="I609" s="125">
        <f aca="true" t="shared" si="46" ref="I609:N609">SUM(I611:I621)</f>
        <v>4041887</v>
      </c>
      <c r="J609" s="125">
        <f t="shared" si="46"/>
        <v>0</v>
      </c>
      <c r="K609" s="125">
        <f t="shared" si="46"/>
        <v>0</v>
      </c>
      <c r="L609" s="125">
        <f t="shared" si="46"/>
        <v>0</v>
      </c>
      <c r="M609" s="125">
        <f t="shared" si="46"/>
        <v>399746</v>
      </c>
      <c r="N609" s="125">
        <f t="shared" si="46"/>
        <v>0</v>
      </c>
    </row>
    <row r="610" spans="1:14" s="8" customFormat="1" ht="15.75" customHeight="1">
      <c r="A610" s="142" t="s">
        <v>4</v>
      </c>
      <c r="B610" s="115"/>
      <c r="C610" s="115"/>
      <c r="D610" s="115"/>
      <c r="E610" s="115"/>
      <c r="F610" s="115"/>
      <c r="G610" s="122"/>
      <c r="H610" s="118"/>
      <c r="I610" s="125"/>
      <c r="J610" s="125"/>
      <c r="K610" s="125"/>
      <c r="L610" s="125"/>
      <c r="M610" s="125"/>
      <c r="N610" s="125"/>
    </row>
    <row r="611" spans="1:14" s="8" customFormat="1" ht="26.25" customHeight="1">
      <c r="A611" s="142" t="s">
        <v>309</v>
      </c>
      <c r="B611" s="115"/>
      <c r="C611" s="115">
        <v>291</v>
      </c>
      <c r="D611" s="115">
        <v>800000000</v>
      </c>
      <c r="E611" s="115">
        <v>851</v>
      </c>
      <c r="F611" s="115">
        <v>291</v>
      </c>
      <c r="G611" s="102" t="s">
        <v>516</v>
      </c>
      <c r="H611" s="118">
        <f>I611+J611+K611+L611+M611+N611</f>
        <v>4041887</v>
      </c>
      <c r="I611" s="125">
        <f>2959713+1082174</f>
        <v>4041887</v>
      </c>
      <c r="J611" s="125"/>
      <c r="K611" s="113"/>
      <c r="L611" s="113"/>
      <c r="M611" s="113">
        <v>0</v>
      </c>
      <c r="N611" s="113"/>
    </row>
    <row r="612" spans="1:14" s="8" customFormat="1" ht="26.25" customHeight="1" hidden="1">
      <c r="A612" s="142" t="s">
        <v>309</v>
      </c>
      <c r="B612" s="487"/>
      <c r="C612" s="489">
        <v>291</v>
      </c>
      <c r="D612" s="489">
        <v>800000000</v>
      </c>
      <c r="E612" s="489">
        <v>851</v>
      </c>
      <c r="F612" s="489">
        <v>291</v>
      </c>
      <c r="G612" s="492" t="s">
        <v>516</v>
      </c>
      <c r="H612" s="491">
        <f>SUM(I612:N612)</f>
        <v>0</v>
      </c>
      <c r="I612" s="486"/>
      <c r="J612" s="125"/>
      <c r="K612" s="113"/>
      <c r="L612" s="113"/>
      <c r="M612" s="113"/>
      <c r="N612" s="113"/>
    </row>
    <row r="613" spans="1:14" s="8" customFormat="1" ht="26.25" customHeight="1">
      <c r="A613" s="142" t="s">
        <v>309</v>
      </c>
      <c r="B613" s="115"/>
      <c r="C613" s="115">
        <v>291</v>
      </c>
      <c r="D613" s="116" t="s">
        <v>521</v>
      </c>
      <c r="E613" s="115">
        <v>851</v>
      </c>
      <c r="F613" s="115">
        <v>291</v>
      </c>
      <c r="G613" s="102" t="s">
        <v>530</v>
      </c>
      <c r="H613" s="118">
        <f>I613+J613+K613+L613+M613+N613</f>
        <v>399746</v>
      </c>
      <c r="I613" s="125">
        <v>0</v>
      </c>
      <c r="J613" s="125"/>
      <c r="K613" s="113"/>
      <c r="L613" s="113"/>
      <c r="M613" s="113">
        <f>292718+107028</f>
        <v>399746</v>
      </c>
      <c r="N613" s="113"/>
    </row>
    <row r="614" spans="1:14" s="8" customFormat="1" ht="26.25" customHeight="1">
      <c r="A614" s="142" t="s">
        <v>309</v>
      </c>
      <c r="B614" s="487"/>
      <c r="C614" s="489">
        <v>291</v>
      </c>
      <c r="D614" s="488" t="s">
        <v>521</v>
      </c>
      <c r="E614" s="489">
        <v>851</v>
      </c>
      <c r="F614" s="489">
        <v>291</v>
      </c>
      <c r="G614" s="492" t="s">
        <v>530</v>
      </c>
      <c r="H614" s="491">
        <f>I614+J614+K614+L614+M614+N614</f>
        <v>0</v>
      </c>
      <c r="I614" s="485">
        <v>0</v>
      </c>
      <c r="J614" s="485">
        <v>0</v>
      </c>
      <c r="K614" s="113">
        <v>0</v>
      </c>
      <c r="L614" s="113">
        <v>0</v>
      </c>
      <c r="M614" s="497"/>
      <c r="N614" s="113"/>
    </row>
    <row r="615" spans="1:15" s="8" customFormat="1" ht="15" customHeight="1">
      <c r="A615" s="142" t="s">
        <v>357</v>
      </c>
      <c r="B615" s="115"/>
      <c r="C615" s="115">
        <v>291</v>
      </c>
      <c r="D615" s="115"/>
      <c r="E615" s="115">
        <v>852</v>
      </c>
      <c r="F615" s="115">
        <v>291</v>
      </c>
      <c r="G615" s="122"/>
      <c r="H615" s="118">
        <f aca="true" t="shared" si="47" ref="H615:H622">I615+J615+K615+L615+M615+N615</f>
        <v>0</v>
      </c>
      <c r="I615" s="125"/>
      <c r="J615" s="125"/>
      <c r="K615" s="113"/>
      <c r="L615" s="113"/>
      <c r="M615" s="113"/>
      <c r="N615" s="113"/>
      <c r="O615" s="8" t="s">
        <v>378</v>
      </c>
    </row>
    <row r="616" spans="1:15" s="8" customFormat="1" ht="15" customHeight="1">
      <c r="A616" s="142" t="s">
        <v>310</v>
      </c>
      <c r="B616" s="115"/>
      <c r="C616" s="115">
        <v>291</v>
      </c>
      <c r="D616" s="115"/>
      <c r="E616" s="115">
        <v>853</v>
      </c>
      <c r="F616" s="115">
        <v>291</v>
      </c>
      <c r="G616" s="122"/>
      <c r="H616" s="118">
        <f t="shared" si="47"/>
        <v>0</v>
      </c>
      <c r="I616" s="125"/>
      <c r="J616" s="125"/>
      <c r="K616" s="113"/>
      <c r="L616" s="113"/>
      <c r="M616" s="113"/>
      <c r="N616" s="113"/>
      <c r="O616" s="8" t="s">
        <v>379</v>
      </c>
    </row>
    <row r="617" spans="1:14" s="8" customFormat="1" ht="34.5" customHeight="1">
      <c r="A617" s="142" t="s">
        <v>358</v>
      </c>
      <c r="B617" s="115"/>
      <c r="C617" s="115">
        <v>292</v>
      </c>
      <c r="D617" s="115"/>
      <c r="E617" s="115">
        <v>853</v>
      </c>
      <c r="F617" s="115">
        <v>292</v>
      </c>
      <c r="G617" s="122"/>
      <c r="H617" s="118">
        <f t="shared" si="47"/>
        <v>0</v>
      </c>
      <c r="I617" s="125"/>
      <c r="J617" s="125"/>
      <c r="K617" s="113"/>
      <c r="L617" s="113"/>
      <c r="M617" s="113"/>
      <c r="N617" s="113"/>
    </row>
    <row r="618" spans="1:14" s="8" customFormat="1" ht="26.25" customHeight="1">
      <c r="A618" s="142" t="s">
        <v>359</v>
      </c>
      <c r="B618" s="115"/>
      <c r="C618" s="115">
        <v>293</v>
      </c>
      <c r="D618" s="115"/>
      <c r="E618" s="115">
        <v>853</v>
      </c>
      <c r="F618" s="115">
        <v>293</v>
      </c>
      <c r="G618" s="122"/>
      <c r="H618" s="118">
        <f t="shared" si="47"/>
        <v>0</v>
      </c>
      <c r="I618" s="125"/>
      <c r="J618" s="125"/>
      <c r="K618" s="113"/>
      <c r="L618" s="113"/>
      <c r="M618" s="113"/>
      <c r="N618" s="113"/>
    </row>
    <row r="619" spans="1:14" s="8" customFormat="1" ht="26.25" customHeight="1">
      <c r="A619" s="142" t="s">
        <v>360</v>
      </c>
      <c r="B619" s="115"/>
      <c r="C619" s="115">
        <v>294</v>
      </c>
      <c r="D619" s="115"/>
      <c r="E619" s="115">
        <v>853</v>
      </c>
      <c r="F619" s="115">
        <v>294</v>
      </c>
      <c r="G619" s="122"/>
      <c r="H619" s="118">
        <f t="shared" si="47"/>
        <v>0</v>
      </c>
      <c r="I619" s="125"/>
      <c r="J619" s="125"/>
      <c r="K619" s="113"/>
      <c r="L619" s="113"/>
      <c r="M619" s="113"/>
      <c r="N619" s="113"/>
    </row>
    <row r="620" spans="1:14" s="8" customFormat="1" ht="18" customHeight="1">
      <c r="A620" s="142" t="s">
        <v>361</v>
      </c>
      <c r="B620" s="115"/>
      <c r="C620" s="115">
        <v>295</v>
      </c>
      <c r="D620" s="115"/>
      <c r="E620" s="115">
        <v>853</v>
      </c>
      <c r="F620" s="115">
        <v>295</v>
      </c>
      <c r="G620" s="122"/>
      <c r="H620" s="118">
        <f t="shared" si="47"/>
        <v>0</v>
      </c>
      <c r="I620" s="125"/>
      <c r="J620" s="125"/>
      <c r="K620" s="113"/>
      <c r="L620" s="113"/>
      <c r="M620" s="113"/>
      <c r="N620" s="113"/>
    </row>
    <row r="621" spans="1:14" s="8" customFormat="1" ht="18" customHeight="1">
      <c r="A621" s="142" t="s">
        <v>362</v>
      </c>
      <c r="B621" s="115"/>
      <c r="C621" s="115">
        <v>296</v>
      </c>
      <c r="D621" s="115"/>
      <c r="E621" s="115">
        <v>853</v>
      </c>
      <c r="F621" s="115">
        <v>296</v>
      </c>
      <c r="G621" s="122"/>
      <c r="H621" s="118">
        <f t="shared" si="47"/>
        <v>0</v>
      </c>
      <c r="I621" s="125"/>
      <c r="J621" s="125"/>
      <c r="K621" s="113"/>
      <c r="L621" s="113"/>
      <c r="M621" s="113"/>
      <c r="N621" s="113"/>
    </row>
    <row r="622" spans="1:14" s="8" customFormat="1" ht="18" customHeight="1">
      <c r="A622" s="142" t="s">
        <v>311</v>
      </c>
      <c r="B622" s="115">
        <v>240</v>
      </c>
      <c r="C622" s="115"/>
      <c r="D622" s="115"/>
      <c r="E622" s="115"/>
      <c r="F622" s="115"/>
      <c r="G622" s="122"/>
      <c r="H622" s="118">
        <f t="shared" si="47"/>
        <v>0</v>
      </c>
      <c r="I622" s="125"/>
      <c r="J622" s="125"/>
      <c r="K622" s="113"/>
      <c r="L622" s="113"/>
      <c r="M622" s="113"/>
      <c r="N622" s="113"/>
    </row>
    <row r="623" spans="1:14" s="8" customFormat="1" ht="28.5" customHeight="1">
      <c r="A623" s="136" t="s">
        <v>312</v>
      </c>
      <c r="B623" s="115">
        <v>250</v>
      </c>
      <c r="C623" s="115"/>
      <c r="D623" s="115"/>
      <c r="E623" s="115"/>
      <c r="F623" s="115"/>
      <c r="G623" s="122"/>
      <c r="H623" s="118">
        <f>H625+H626</f>
        <v>0</v>
      </c>
      <c r="I623" s="125">
        <f aca="true" t="shared" si="48" ref="I623:N623">I625+I626</f>
        <v>0</v>
      </c>
      <c r="J623" s="125">
        <f t="shared" si="48"/>
        <v>0</v>
      </c>
      <c r="K623" s="125">
        <f t="shared" si="48"/>
        <v>0</v>
      </c>
      <c r="L623" s="125">
        <f t="shared" si="48"/>
        <v>0</v>
      </c>
      <c r="M623" s="125">
        <f t="shared" si="48"/>
        <v>0</v>
      </c>
      <c r="N623" s="125">
        <f t="shared" si="48"/>
        <v>0</v>
      </c>
    </row>
    <row r="624" spans="1:14" s="8" customFormat="1" ht="14.25" customHeight="1">
      <c r="A624" s="142" t="s">
        <v>4</v>
      </c>
      <c r="B624" s="115"/>
      <c r="C624" s="115"/>
      <c r="D624" s="115"/>
      <c r="E624" s="115"/>
      <c r="F624" s="115"/>
      <c r="G624" s="122"/>
      <c r="H624" s="118"/>
      <c r="I624" s="125"/>
      <c r="J624" s="125"/>
      <c r="K624" s="113"/>
      <c r="L624" s="113"/>
      <c r="M624" s="113"/>
      <c r="N624" s="113"/>
    </row>
    <row r="625" spans="1:14" s="8" customFormat="1" ht="29.25" customHeight="1">
      <c r="A625" s="136" t="s">
        <v>313</v>
      </c>
      <c r="B625" s="115"/>
      <c r="C625" s="115"/>
      <c r="D625" s="115"/>
      <c r="E625" s="115"/>
      <c r="F625" s="115"/>
      <c r="G625" s="122"/>
      <c r="H625" s="118">
        <f>I625+J625+K625+L625+M625+N625</f>
        <v>0</v>
      </c>
      <c r="I625" s="125"/>
      <c r="J625" s="125"/>
      <c r="K625" s="113"/>
      <c r="L625" s="113"/>
      <c r="M625" s="113"/>
      <c r="N625" s="113"/>
    </row>
    <row r="626" spans="1:14" s="8" customFormat="1" ht="34.5" customHeight="1">
      <c r="A626" s="142" t="s">
        <v>314</v>
      </c>
      <c r="B626" s="115"/>
      <c r="C626" s="115"/>
      <c r="D626" s="115"/>
      <c r="E626" s="115"/>
      <c r="F626" s="115"/>
      <c r="G626" s="122"/>
      <c r="H626" s="118">
        <f>I626+J626+K626+L626+M626+N626</f>
        <v>0</v>
      </c>
      <c r="I626" s="125"/>
      <c r="J626" s="125"/>
      <c r="K626" s="125"/>
      <c r="L626" s="125"/>
      <c r="M626" s="125"/>
      <c r="N626" s="113"/>
    </row>
    <row r="627" spans="1:14" s="8" customFormat="1" ht="27" customHeight="1">
      <c r="A627" s="142" t="s">
        <v>315</v>
      </c>
      <c r="B627" s="115">
        <v>260</v>
      </c>
      <c r="C627" s="115"/>
      <c r="D627" s="115"/>
      <c r="E627" s="115"/>
      <c r="F627" s="115"/>
      <c r="G627" s="122"/>
      <c r="H627" s="118">
        <f>I627+J627+M627</f>
        <v>17859467.48</v>
      </c>
      <c r="I627" s="125">
        <f>I629+I630+I635+I654+I655+I660+I661+I667+I679+I631+I632+I656+I657+I662+I663</f>
        <v>9084426.98</v>
      </c>
      <c r="J627" s="125">
        <f>J629+J634+J635+J653+J654+J660+J666+J667+J678+J679+J692</f>
        <v>0</v>
      </c>
      <c r="K627" s="125">
        <f>K629+K634+K635+K653+K654+K660+K666+K667+K678+K679+K692</f>
        <v>0</v>
      </c>
      <c r="L627" s="125">
        <f>L629+L634+L635+L653+L654+L660+L666+L667+L678+L679+L692</f>
        <v>0</v>
      </c>
      <c r="M627" s="125">
        <f>M633+M635+M658+M659+M664+M665+M667+M690+M691</f>
        <v>8775040.5</v>
      </c>
      <c r="N627" s="125">
        <f>N629+N634+N635+N653+N654+N660+N666+N667+N678+N679+N692</f>
        <v>0</v>
      </c>
    </row>
    <row r="628" spans="1:14" s="41" customFormat="1" ht="15.75" customHeight="1">
      <c r="A628" s="142" t="s">
        <v>4</v>
      </c>
      <c r="B628" s="148"/>
      <c r="C628" s="115"/>
      <c r="D628" s="148"/>
      <c r="E628" s="148"/>
      <c r="F628" s="115"/>
      <c r="G628" s="122"/>
      <c r="H628" s="118"/>
      <c r="I628" s="118"/>
      <c r="J628" s="118"/>
      <c r="K628" s="118"/>
      <c r="L628" s="118"/>
      <c r="M628" s="118"/>
      <c r="N628" s="118"/>
    </row>
    <row r="629" spans="1:14" s="8" customFormat="1" ht="16.5" customHeight="1">
      <c r="A629" s="142" t="s">
        <v>316</v>
      </c>
      <c r="B629" s="115"/>
      <c r="C629" s="115">
        <v>221</v>
      </c>
      <c r="D629" s="115">
        <v>800000000</v>
      </c>
      <c r="E629" s="115">
        <v>244</v>
      </c>
      <c r="F629" s="115">
        <v>221</v>
      </c>
      <c r="G629" s="102" t="s">
        <v>531</v>
      </c>
      <c r="H629" s="118">
        <f>I629+J629+M629</f>
        <v>87600</v>
      </c>
      <c r="I629" s="125">
        <f>72000+15600</f>
        <v>87600</v>
      </c>
      <c r="J629" s="125"/>
      <c r="K629" s="113"/>
      <c r="L629" s="113"/>
      <c r="M629" s="113"/>
      <c r="N629" s="113"/>
    </row>
    <row r="630" spans="1:14" s="8" customFormat="1" ht="16.5" customHeight="1">
      <c r="A630" s="142" t="s">
        <v>316</v>
      </c>
      <c r="B630" s="115"/>
      <c r="C630" s="115">
        <v>221</v>
      </c>
      <c r="D630" s="115">
        <v>800000000</v>
      </c>
      <c r="E630" s="115">
        <v>244</v>
      </c>
      <c r="F630" s="115">
        <v>221</v>
      </c>
      <c r="G630" s="102" t="s">
        <v>532</v>
      </c>
      <c r="H630" s="118">
        <f>I630+J630+M630</f>
        <v>32000.1</v>
      </c>
      <c r="I630" s="125">
        <v>32000.1</v>
      </c>
      <c r="J630" s="125"/>
      <c r="K630" s="113"/>
      <c r="L630" s="113"/>
      <c r="M630" s="113"/>
      <c r="N630" s="113"/>
    </row>
    <row r="631" spans="1:14" s="8" customFormat="1" ht="16.5" customHeight="1" hidden="1">
      <c r="A631" s="142" t="s">
        <v>316</v>
      </c>
      <c r="B631" s="487"/>
      <c r="C631" s="489">
        <v>221</v>
      </c>
      <c r="D631" s="489">
        <v>800000000</v>
      </c>
      <c r="E631" s="489">
        <v>244</v>
      </c>
      <c r="F631" s="489">
        <v>221</v>
      </c>
      <c r="G631" s="490" t="s">
        <v>531</v>
      </c>
      <c r="H631" s="491">
        <f>I631+J631+K631+L631+M631+N631</f>
        <v>0</v>
      </c>
      <c r="I631" s="486"/>
      <c r="J631" s="125"/>
      <c r="K631" s="113"/>
      <c r="L631" s="113"/>
      <c r="M631" s="113"/>
      <c r="N631" s="113"/>
    </row>
    <row r="632" spans="1:14" s="8" customFormat="1" ht="16.5" customHeight="1">
      <c r="A632" s="142" t="s">
        <v>826</v>
      </c>
      <c r="B632" s="487"/>
      <c r="C632" s="489">
        <v>221</v>
      </c>
      <c r="D632" s="489">
        <v>800000000</v>
      </c>
      <c r="E632" s="489">
        <v>244</v>
      </c>
      <c r="F632" s="489">
        <v>221</v>
      </c>
      <c r="G632" s="493" t="s">
        <v>827</v>
      </c>
      <c r="H632" s="491">
        <f>I632+J632+K632+L632+M632+N632</f>
        <v>45806.4</v>
      </c>
      <c r="I632" s="486">
        <v>45806.4</v>
      </c>
      <c r="J632" s="125"/>
      <c r="K632" s="113"/>
      <c r="L632" s="113"/>
      <c r="M632" s="113"/>
      <c r="N632" s="113"/>
    </row>
    <row r="633" spans="1:14" s="8" customFormat="1" ht="16.5" customHeight="1">
      <c r="A633" s="142" t="s">
        <v>316</v>
      </c>
      <c r="B633" s="115"/>
      <c r="C633" s="115">
        <v>221</v>
      </c>
      <c r="D633" s="116" t="s">
        <v>521</v>
      </c>
      <c r="E633" s="115">
        <v>244</v>
      </c>
      <c r="F633" s="115">
        <v>221</v>
      </c>
      <c r="G633" s="102" t="s">
        <v>533</v>
      </c>
      <c r="H633" s="118">
        <f>I633+J633+M633</f>
        <v>2909.1</v>
      </c>
      <c r="I633" s="125">
        <v>0</v>
      </c>
      <c r="J633" s="125"/>
      <c r="K633" s="113"/>
      <c r="L633" s="113"/>
      <c r="M633" s="113">
        <v>2909.1</v>
      </c>
      <c r="N633" s="113"/>
    </row>
    <row r="634" spans="1:14" s="8" customFormat="1" ht="15.75" customHeight="1">
      <c r="A634" s="142" t="s">
        <v>317</v>
      </c>
      <c r="B634" s="115"/>
      <c r="C634" s="115">
        <v>222</v>
      </c>
      <c r="D634" s="115"/>
      <c r="E634" s="115">
        <v>244</v>
      </c>
      <c r="F634" s="115">
        <v>222</v>
      </c>
      <c r="G634" s="122"/>
      <c r="H634" s="118">
        <f>I634+J634+K634+L634+M634+N634</f>
        <v>0</v>
      </c>
      <c r="I634" s="125"/>
      <c r="J634" s="125"/>
      <c r="K634" s="113"/>
      <c r="L634" s="113"/>
      <c r="M634" s="113"/>
      <c r="N634" s="113"/>
    </row>
    <row r="635" spans="1:14" s="8" customFormat="1" ht="14.25" customHeight="1">
      <c r="A635" s="142" t="s">
        <v>318</v>
      </c>
      <c r="B635" s="115"/>
      <c r="C635" s="115">
        <v>223</v>
      </c>
      <c r="D635" s="115"/>
      <c r="E635" s="115">
        <v>244</v>
      </c>
      <c r="F635" s="115">
        <v>223</v>
      </c>
      <c r="G635" s="122"/>
      <c r="H635" s="118">
        <f>I635+J635+M635</f>
        <v>3447560.04</v>
      </c>
      <c r="I635" s="125">
        <f>SUM(I637:I646)</f>
        <v>3142082.57</v>
      </c>
      <c r="J635" s="125">
        <f>SUM(J637:J646)</f>
        <v>0</v>
      </c>
      <c r="K635" s="125">
        <f>SUM(K637:K646)</f>
        <v>0</v>
      </c>
      <c r="L635" s="125">
        <f>SUM(L637:L646)</f>
        <v>0</v>
      </c>
      <c r="M635" s="125">
        <f>SUM(M643:M652)</f>
        <v>305477.47000000003</v>
      </c>
      <c r="N635" s="125">
        <f>N637+N640+N641+N644</f>
        <v>0</v>
      </c>
    </row>
    <row r="636" spans="1:14" s="8" customFormat="1" ht="12.75">
      <c r="A636" s="142" t="s">
        <v>4</v>
      </c>
      <c r="B636" s="115"/>
      <c r="C636" s="115"/>
      <c r="D636" s="115"/>
      <c r="E636" s="115"/>
      <c r="F636" s="115"/>
      <c r="G636" s="122"/>
      <c r="H636" s="118"/>
      <c r="I636" s="125"/>
      <c r="J636" s="125"/>
      <c r="K636" s="113"/>
      <c r="L636" s="113"/>
      <c r="M636" s="113"/>
      <c r="N636" s="113"/>
    </row>
    <row r="637" spans="1:14" s="8" customFormat="1" ht="15" customHeight="1">
      <c r="A637" s="142" t="s">
        <v>319</v>
      </c>
      <c r="B637" s="115"/>
      <c r="C637" s="115"/>
      <c r="D637" s="115">
        <v>800000000</v>
      </c>
      <c r="E637" s="115">
        <v>244</v>
      </c>
      <c r="F637" s="115"/>
      <c r="G637" s="102" t="s">
        <v>532</v>
      </c>
      <c r="H637" s="118">
        <f aca="true" t="shared" si="49" ref="H637:H666">I637+J637+K637+L637+M637+N637</f>
        <v>1604461.97</v>
      </c>
      <c r="I637" s="125">
        <f>1246845.97+357616</f>
        <v>1604461.97</v>
      </c>
      <c r="J637" s="125"/>
      <c r="K637" s="113"/>
      <c r="L637" s="113"/>
      <c r="M637" s="113">
        <v>0</v>
      </c>
      <c r="N637" s="113"/>
    </row>
    <row r="638" spans="1:14" s="8" customFormat="1" ht="15" customHeight="1">
      <c r="A638" s="142" t="s">
        <v>319</v>
      </c>
      <c r="B638" s="487"/>
      <c r="C638" s="487">
        <v>223</v>
      </c>
      <c r="D638" s="489">
        <v>800000000</v>
      </c>
      <c r="E638" s="487">
        <v>244</v>
      </c>
      <c r="F638" s="487">
        <v>223</v>
      </c>
      <c r="G638" s="493" t="s">
        <v>827</v>
      </c>
      <c r="H638" s="491">
        <f>I638+J638+K638+L638+M638+N638</f>
        <v>459884</v>
      </c>
      <c r="I638" s="486">
        <v>459884</v>
      </c>
      <c r="J638" s="125"/>
      <c r="K638" s="113"/>
      <c r="L638" s="113"/>
      <c r="M638" s="113"/>
      <c r="N638" s="113"/>
    </row>
    <row r="639" spans="1:14" s="8" customFormat="1" ht="15" customHeight="1">
      <c r="A639" s="142" t="s">
        <v>319</v>
      </c>
      <c r="B639" s="487"/>
      <c r="C639" s="487">
        <v>223</v>
      </c>
      <c r="D639" s="489">
        <v>800000000</v>
      </c>
      <c r="E639" s="487">
        <v>244</v>
      </c>
      <c r="F639" s="487">
        <v>223</v>
      </c>
      <c r="G639" s="494" t="s">
        <v>532</v>
      </c>
      <c r="H639" s="491">
        <f>I639+J639+K639+L639+M639+N639</f>
        <v>0</v>
      </c>
      <c r="I639" s="486"/>
      <c r="J639" s="125"/>
      <c r="K639" s="113"/>
      <c r="L639" s="113"/>
      <c r="M639" s="113"/>
      <c r="N639" s="113"/>
    </row>
    <row r="640" spans="1:14" s="8" customFormat="1" ht="15" customHeight="1">
      <c r="A640" s="142" t="s">
        <v>320</v>
      </c>
      <c r="B640" s="115"/>
      <c r="C640" s="115"/>
      <c r="D640" s="115">
        <v>800000000</v>
      </c>
      <c r="E640" s="115">
        <v>244</v>
      </c>
      <c r="F640" s="115"/>
      <c r="G640" s="102" t="s">
        <v>532</v>
      </c>
      <c r="H640" s="118">
        <f t="shared" si="49"/>
        <v>0</v>
      </c>
      <c r="I640" s="125">
        <v>0</v>
      </c>
      <c r="J640" s="125"/>
      <c r="K640" s="113"/>
      <c r="L640" s="113"/>
      <c r="M640" s="113"/>
      <c r="N640" s="113"/>
    </row>
    <row r="641" spans="1:14" s="8" customFormat="1" ht="15" customHeight="1">
      <c r="A641" s="142" t="s">
        <v>321</v>
      </c>
      <c r="B641" s="115"/>
      <c r="C641" s="115"/>
      <c r="D641" s="115">
        <v>800000000</v>
      </c>
      <c r="E641" s="115">
        <v>244</v>
      </c>
      <c r="F641" s="115"/>
      <c r="G641" s="102" t="s">
        <v>532</v>
      </c>
      <c r="H641" s="118">
        <f t="shared" si="49"/>
        <v>568356.6799999999</v>
      </c>
      <c r="I641" s="125">
        <f>470359.68+97997</f>
        <v>568356.6799999999</v>
      </c>
      <c r="J641" s="125"/>
      <c r="K641" s="113"/>
      <c r="L641" s="113"/>
      <c r="M641" s="113"/>
      <c r="N641" s="113"/>
    </row>
    <row r="642" spans="1:14" s="8" customFormat="1" ht="15" customHeight="1">
      <c r="A642" s="142" t="s">
        <v>321</v>
      </c>
      <c r="B642" s="487"/>
      <c r="C642" s="487">
        <v>223</v>
      </c>
      <c r="D642" s="489">
        <v>800000000</v>
      </c>
      <c r="E642" s="487">
        <v>244</v>
      </c>
      <c r="F642" s="487">
        <v>223</v>
      </c>
      <c r="G642" s="493" t="s">
        <v>827</v>
      </c>
      <c r="H642" s="491">
        <f>I642+J642+K642+L642+M642+N642</f>
        <v>240227</v>
      </c>
      <c r="I642" s="486">
        <v>240227</v>
      </c>
      <c r="J642" s="125"/>
      <c r="K642" s="113"/>
      <c r="L642" s="113"/>
      <c r="M642" s="113"/>
      <c r="N642" s="113"/>
    </row>
    <row r="643" spans="1:14" s="8" customFormat="1" ht="15" customHeight="1">
      <c r="A643" s="142" t="s">
        <v>321</v>
      </c>
      <c r="B643" s="487"/>
      <c r="C643" s="487">
        <v>223</v>
      </c>
      <c r="D643" s="489">
        <v>800000000</v>
      </c>
      <c r="E643" s="487">
        <v>244</v>
      </c>
      <c r="F643" s="487">
        <v>223</v>
      </c>
      <c r="G643" s="494" t="s">
        <v>532</v>
      </c>
      <c r="H643" s="491">
        <f>I643+J643+K643+L643+M643+N643</f>
        <v>0</v>
      </c>
      <c r="I643" s="486"/>
      <c r="J643" s="125"/>
      <c r="K643" s="113"/>
      <c r="L643" s="113"/>
      <c r="M643" s="113"/>
      <c r="N643" s="113"/>
    </row>
    <row r="644" spans="1:14" s="8" customFormat="1" ht="15" customHeight="1">
      <c r="A644" s="142" t="s">
        <v>322</v>
      </c>
      <c r="B644" s="115"/>
      <c r="C644" s="115"/>
      <c r="D644" s="115">
        <v>800000000</v>
      </c>
      <c r="E644" s="115">
        <v>244</v>
      </c>
      <c r="F644" s="115"/>
      <c r="G644" s="102" t="s">
        <v>532</v>
      </c>
      <c r="H644" s="118">
        <f t="shared" si="49"/>
        <v>148192.91999999998</v>
      </c>
      <c r="I644" s="125">
        <f>125152.92+23040</f>
        <v>148192.91999999998</v>
      </c>
      <c r="J644" s="125"/>
      <c r="K644" s="113"/>
      <c r="L644" s="113"/>
      <c r="M644" s="113"/>
      <c r="N644" s="113"/>
    </row>
    <row r="645" spans="1:14" s="8" customFormat="1" ht="15" customHeight="1">
      <c r="A645" s="142" t="s">
        <v>322</v>
      </c>
      <c r="B645" s="487"/>
      <c r="C645" s="487">
        <v>223</v>
      </c>
      <c r="D645" s="489">
        <v>800000000</v>
      </c>
      <c r="E645" s="487">
        <v>244</v>
      </c>
      <c r="F645" s="487">
        <v>223</v>
      </c>
      <c r="G645" s="493" t="s">
        <v>827</v>
      </c>
      <c r="H645" s="491">
        <f>I645+J645+K645+L645+M645+N645</f>
        <v>120960</v>
      </c>
      <c r="I645" s="486">
        <v>120960</v>
      </c>
      <c r="J645" s="125"/>
      <c r="K645" s="113"/>
      <c r="L645" s="113"/>
      <c r="M645" s="113"/>
      <c r="N645" s="113"/>
    </row>
    <row r="646" spans="1:14" s="8" customFormat="1" ht="15" customHeight="1">
      <c r="A646" s="142" t="s">
        <v>322</v>
      </c>
      <c r="B646" s="487"/>
      <c r="C646" s="487">
        <v>223</v>
      </c>
      <c r="D646" s="489">
        <v>800000000</v>
      </c>
      <c r="E646" s="487">
        <v>244</v>
      </c>
      <c r="F646" s="487">
        <v>223</v>
      </c>
      <c r="G646" s="494" t="s">
        <v>532</v>
      </c>
      <c r="H646" s="491">
        <f>I646+J646+K646+L646+M646+N646</f>
        <v>0</v>
      </c>
      <c r="I646" s="486"/>
      <c r="J646" s="125"/>
      <c r="K646" s="113"/>
      <c r="L646" s="113"/>
      <c r="M646" s="113"/>
      <c r="N646" s="113"/>
    </row>
    <row r="647" spans="1:14" s="8" customFormat="1" ht="15" customHeight="1">
      <c r="A647" s="142" t="s">
        <v>319</v>
      </c>
      <c r="B647" s="115"/>
      <c r="C647" s="115"/>
      <c r="D647" s="116" t="s">
        <v>521</v>
      </c>
      <c r="E647" s="115">
        <v>244</v>
      </c>
      <c r="F647" s="115"/>
      <c r="G647" s="102" t="s">
        <v>533</v>
      </c>
      <c r="H647" s="118">
        <f t="shared" si="49"/>
        <v>71801.35</v>
      </c>
      <c r="I647" s="125">
        <v>0</v>
      </c>
      <c r="J647" s="125"/>
      <c r="K647" s="113"/>
      <c r="L647" s="113"/>
      <c r="M647" s="113">
        <f>9301.35+62500</f>
        <v>71801.35</v>
      </c>
      <c r="N647" s="113"/>
    </row>
    <row r="648" spans="1:14" s="8" customFormat="1" ht="15" customHeight="1" hidden="1">
      <c r="A648" s="142" t="s">
        <v>319</v>
      </c>
      <c r="B648" s="487"/>
      <c r="C648" s="487">
        <v>223</v>
      </c>
      <c r="D648" s="488" t="s">
        <v>521</v>
      </c>
      <c r="E648" s="487">
        <v>244</v>
      </c>
      <c r="F648" s="487">
        <v>223</v>
      </c>
      <c r="G648" s="494" t="s">
        <v>533</v>
      </c>
      <c r="H648" s="491">
        <f>I648+J648+K648+L648+M648+N648</f>
        <v>0</v>
      </c>
      <c r="I648" s="485">
        <v>0</v>
      </c>
      <c r="J648" s="485">
        <v>0</v>
      </c>
      <c r="K648" s="113">
        <v>0</v>
      </c>
      <c r="L648" s="113">
        <v>0</v>
      </c>
      <c r="M648" s="497"/>
      <c r="N648" s="113"/>
    </row>
    <row r="649" spans="1:14" s="8" customFormat="1" ht="15" customHeight="1">
      <c r="A649" s="142" t="s">
        <v>321</v>
      </c>
      <c r="B649" s="115"/>
      <c r="C649" s="115"/>
      <c r="D649" s="116" t="s">
        <v>521</v>
      </c>
      <c r="E649" s="115">
        <v>244</v>
      </c>
      <c r="F649" s="115"/>
      <c r="G649" s="102" t="s">
        <v>533</v>
      </c>
      <c r="H649" s="118">
        <f t="shared" si="49"/>
        <v>175138.88</v>
      </c>
      <c r="I649" s="125">
        <v>0</v>
      </c>
      <c r="J649" s="125"/>
      <c r="K649" s="113"/>
      <c r="L649" s="113"/>
      <c r="M649" s="113">
        <f>143362.88+31776</f>
        <v>175138.88</v>
      </c>
      <c r="N649" s="113"/>
    </row>
    <row r="650" spans="1:14" s="8" customFormat="1" ht="15" customHeight="1" hidden="1">
      <c r="A650" s="142" t="s">
        <v>321</v>
      </c>
      <c r="B650" s="487"/>
      <c r="C650" s="487">
        <v>223</v>
      </c>
      <c r="D650" s="488" t="s">
        <v>521</v>
      </c>
      <c r="E650" s="487">
        <v>244</v>
      </c>
      <c r="F650" s="487">
        <v>223</v>
      </c>
      <c r="G650" s="494" t="s">
        <v>533</v>
      </c>
      <c r="H650" s="491">
        <f>I650+J650+K650+L650+M650+N650</f>
        <v>0</v>
      </c>
      <c r="I650" s="485">
        <v>0</v>
      </c>
      <c r="J650" s="485">
        <v>0</v>
      </c>
      <c r="K650" s="113">
        <v>0</v>
      </c>
      <c r="L650" s="113">
        <v>0</v>
      </c>
      <c r="M650" s="497"/>
      <c r="N650" s="113"/>
    </row>
    <row r="651" spans="1:14" s="8" customFormat="1" ht="15" customHeight="1">
      <c r="A651" s="142" t="s">
        <v>322</v>
      </c>
      <c r="B651" s="115"/>
      <c r="C651" s="115"/>
      <c r="D651" s="116" t="s">
        <v>521</v>
      </c>
      <c r="E651" s="115">
        <v>244</v>
      </c>
      <c r="F651" s="115"/>
      <c r="G651" s="102" t="s">
        <v>533</v>
      </c>
      <c r="H651" s="118">
        <f t="shared" si="49"/>
        <v>58537.24</v>
      </c>
      <c r="I651" s="125">
        <v>0</v>
      </c>
      <c r="J651" s="125"/>
      <c r="K651" s="113"/>
      <c r="L651" s="113"/>
      <c r="M651" s="113">
        <f>42537.24+16000</f>
        <v>58537.24</v>
      </c>
      <c r="N651" s="113"/>
    </row>
    <row r="652" spans="1:14" s="8" customFormat="1" ht="15" customHeight="1" hidden="1">
      <c r="A652" s="142" t="s">
        <v>322</v>
      </c>
      <c r="B652" s="487"/>
      <c r="C652" s="487">
        <v>223</v>
      </c>
      <c r="D652" s="488" t="s">
        <v>521</v>
      </c>
      <c r="E652" s="487">
        <v>244</v>
      </c>
      <c r="F652" s="487">
        <v>223</v>
      </c>
      <c r="G652" s="494" t="s">
        <v>533</v>
      </c>
      <c r="H652" s="491">
        <f>I652+J652+K652+L652+M652+N652</f>
        <v>0</v>
      </c>
      <c r="I652" s="485">
        <v>0</v>
      </c>
      <c r="J652" s="485">
        <v>0</v>
      </c>
      <c r="K652" s="113">
        <v>0</v>
      </c>
      <c r="L652" s="113">
        <v>0</v>
      </c>
      <c r="M652" s="497"/>
      <c r="N652" s="113"/>
    </row>
    <row r="653" spans="1:14" s="8" customFormat="1" ht="15" customHeight="1">
      <c r="A653" s="142" t="s">
        <v>323</v>
      </c>
      <c r="B653" s="115"/>
      <c r="C653" s="115">
        <v>224</v>
      </c>
      <c r="D653" s="115"/>
      <c r="E653" s="115"/>
      <c r="F653" s="115">
        <v>224</v>
      </c>
      <c r="G653" s="122"/>
      <c r="H653" s="118">
        <f t="shared" si="49"/>
        <v>0</v>
      </c>
      <c r="I653" s="125">
        <v>0</v>
      </c>
      <c r="J653" s="125"/>
      <c r="K653" s="113"/>
      <c r="L653" s="113"/>
      <c r="M653" s="113"/>
      <c r="N653" s="113"/>
    </row>
    <row r="654" spans="1:14" s="8" customFormat="1" ht="15" customHeight="1">
      <c r="A654" s="142" t="s">
        <v>324</v>
      </c>
      <c r="B654" s="115"/>
      <c r="C654" s="115">
        <v>225</v>
      </c>
      <c r="D654" s="115">
        <v>800000000</v>
      </c>
      <c r="E654" s="115">
        <v>244</v>
      </c>
      <c r="F654" s="115">
        <v>225</v>
      </c>
      <c r="G654" s="102" t="s">
        <v>531</v>
      </c>
      <c r="H654" s="118">
        <f t="shared" si="49"/>
        <v>132945.86</v>
      </c>
      <c r="I654" s="125">
        <v>132945.86</v>
      </c>
      <c r="J654" s="125"/>
      <c r="K654" s="113"/>
      <c r="L654" s="113"/>
      <c r="M654" s="113"/>
      <c r="N654" s="113"/>
    </row>
    <row r="655" spans="1:14" s="8" customFormat="1" ht="15" customHeight="1">
      <c r="A655" s="142" t="s">
        <v>324</v>
      </c>
      <c r="B655" s="115"/>
      <c r="C655" s="115">
        <v>225</v>
      </c>
      <c r="D655" s="115">
        <v>800000000</v>
      </c>
      <c r="E655" s="115">
        <v>244</v>
      </c>
      <c r="F655" s="115">
        <v>225</v>
      </c>
      <c r="G655" s="102" t="s">
        <v>532</v>
      </c>
      <c r="H655" s="118">
        <f t="shared" si="49"/>
        <v>2352681.11</v>
      </c>
      <c r="I655" s="125">
        <f>2200842.68+69364.53+82473.9</f>
        <v>2352681.11</v>
      </c>
      <c r="J655" s="125"/>
      <c r="K655" s="113"/>
      <c r="L655" s="113"/>
      <c r="M655" s="113"/>
      <c r="N655" s="113"/>
    </row>
    <row r="656" spans="1:14" s="8" customFormat="1" ht="15" customHeight="1">
      <c r="A656" s="142" t="s">
        <v>324</v>
      </c>
      <c r="B656" s="487"/>
      <c r="C656" s="487">
        <v>225</v>
      </c>
      <c r="D656" s="489">
        <v>800000000</v>
      </c>
      <c r="E656" s="487">
        <v>244</v>
      </c>
      <c r="F656" s="487">
        <v>225</v>
      </c>
      <c r="G656" s="493" t="s">
        <v>827</v>
      </c>
      <c r="H656" s="491">
        <f>I656+J656+K656+L656+M656+N656</f>
        <v>432987.99</v>
      </c>
      <c r="I656" s="486">
        <v>432987.99</v>
      </c>
      <c r="J656" s="125"/>
      <c r="K656" s="113"/>
      <c r="L656" s="113"/>
      <c r="M656" s="113"/>
      <c r="N656" s="113"/>
    </row>
    <row r="657" spans="1:14" s="8" customFormat="1" ht="15" customHeight="1">
      <c r="A657" s="142" t="s">
        <v>324</v>
      </c>
      <c r="B657" s="487"/>
      <c r="C657" s="487">
        <v>225</v>
      </c>
      <c r="D657" s="489">
        <v>800000000</v>
      </c>
      <c r="E657" s="487">
        <v>244</v>
      </c>
      <c r="F657" s="487">
        <v>225</v>
      </c>
      <c r="G657" s="494" t="s">
        <v>532</v>
      </c>
      <c r="H657" s="491">
        <f>I657+J657+K657+L657+M657+N657</f>
        <v>0</v>
      </c>
      <c r="I657" s="486"/>
      <c r="J657" s="125"/>
      <c r="K657" s="113"/>
      <c r="L657" s="113"/>
      <c r="M657" s="113"/>
      <c r="N657" s="113"/>
    </row>
    <row r="658" spans="1:14" s="8" customFormat="1" ht="15" customHeight="1">
      <c r="A658" s="142" t="s">
        <v>324</v>
      </c>
      <c r="B658" s="115"/>
      <c r="C658" s="115">
        <v>225</v>
      </c>
      <c r="D658" s="116" t="s">
        <v>521</v>
      </c>
      <c r="E658" s="115">
        <v>244</v>
      </c>
      <c r="F658" s="115">
        <v>225</v>
      </c>
      <c r="G658" s="102" t="s">
        <v>533</v>
      </c>
      <c r="H658" s="118">
        <f t="shared" si="49"/>
        <v>2940347.3499999996</v>
      </c>
      <c r="I658" s="125">
        <v>0</v>
      </c>
      <c r="J658" s="125"/>
      <c r="K658" s="113"/>
      <c r="L658" s="113"/>
      <c r="M658" s="113">
        <f>2600998.63+33943.32+10000+295405.4</f>
        <v>2940347.3499999996</v>
      </c>
      <c r="N658" s="113"/>
    </row>
    <row r="659" spans="1:14" s="8" customFormat="1" ht="15" customHeight="1" hidden="1">
      <c r="A659" s="142" t="s">
        <v>324</v>
      </c>
      <c r="B659" s="487"/>
      <c r="C659" s="487">
        <v>225</v>
      </c>
      <c r="D659" s="488" t="s">
        <v>521</v>
      </c>
      <c r="E659" s="487">
        <v>244</v>
      </c>
      <c r="F659" s="487">
        <v>225</v>
      </c>
      <c r="G659" s="494" t="s">
        <v>533</v>
      </c>
      <c r="H659" s="491">
        <f>I659+J659+K659+L659+M659+N659</f>
        <v>0</v>
      </c>
      <c r="I659" s="485">
        <v>0</v>
      </c>
      <c r="J659" s="485">
        <v>0</v>
      </c>
      <c r="K659" s="113">
        <v>0</v>
      </c>
      <c r="L659" s="113">
        <v>0</v>
      </c>
      <c r="M659" s="497"/>
      <c r="N659" s="113"/>
    </row>
    <row r="660" spans="1:14" s="8" customFormat="1" ht="15" customHeight="1">
      <c r="A660" s="142" t="s">
        <v>325</v>
      </c>
      <c r="B660" s="115"/>
      <c r="C660" s="115">
        <v>310</v>
      </c>
      <c r="D660" s="115">
        <v>800000000</v>
      </c>
      <c r="E660" s="115">
        <v>244</v>
      </c>
      <c r="F660" s="115">
        <v>310</v>
      </c>
      <c r="G660" s="102" t="s">
        <v>531</v>
      </c>
      <c r="H660" s="118">
        <f t="shared" si="49"/>
        <v>511217</v>
      </c>
      <c r="I660" s="125">
        <f>450000+61217</f>
        <v>511217</v>
      </c>
      <c r="J660" s="125"/>
      <c r="K660" s="113"/>
      <c r="L660" s="113"/>
      <c r="M660" s="113"/>
      <c r="N660" s="113"/>
    </row>
    <row r="661" spans="1:14" s="8" customFormat="1" ht="15" customHeight="1">
      <c r="A661" s="142" t="s">
        <v>325</v>
      </c>
      <c r="B661" s="115"/>
      <c r="C661" s="115">
        <v>310</v>
      </c>
      <c r="D661" s="115">
        <v>800000000</v>
      </c>
      <c r="E661" s="115">
        <v>244</v>
      </c>
      <c r="F661" s="115">
        <v>310</v>
      </c>
      <c r="G661" s="102" t="s">
        <v>532</v>
      </c>
      <c r="H661" s="118">
        <f t="shared" si="49"/>
        <v>262999.9</v>
      </c>
      <c r="I661" s="125">
        <f>295000-32000.1</f>
        <v>262999.9</v>
      </c>
      <c r="J661" s="125"/>
      <c r="K661" s="113"/>
      <c r="L661" s="113"/>
      <c r="M661" s="113"/>
      <c r="N661" s="113"/>
    </row>
    <row r="662" spans="1:14" s="8" customFormat="1" ht="15" customHeight="1">
      <c r="A662" s="142" t="s">
        <v>325</v>
      </c>
      <c r="B662" s="487"/>
      <c r="C662" s="487">
        <v>310</v>
      </c>
      <c r="D662" s="489">
        <v>800000000</v>
      </c>
      <c r="E662" s="487">
        <v>244</v>
      </c>
      <c r="F662" s="487">
        <v>310</v>
      </c>
      <c r="G662" s="490" t="s">
        <v>535</v>
      </c>
      <c r="H662" s="491">
        <f>I662+J662+K662+L662+M662+N662</f>
        <v>194426</v>
      </c>
      <c r="I662" s="486">
        <v>194426</v>
      </c>
      <c r="J662" s="125"/>
      <c r="K662" s="113"/>
      <c r="L662" s="113"/>
      <c r="M662" s="113"/>
      <c r="N662" s="113"/>
    </row>
    <row r="663" spans="1:14" s="8" customFormat="1" ht="15" customHeight="1">
      <c r="A663" s="142" t="s">
        <v>325</v>
      </c>
      <c r="B663" s="487"/>
      <c r="C663" s="487">
        <v>310</v>
      </c>
      <c r="D663" s="489">
        <v>800000000</v>
      </c>
      <c r="E663" s="487">
        <v>244</v>
      </c>
      <c r="F663" s="487">
        <v>310</v>
      </c>
      <c r="G663" s="490" t="s">
        <v>531</v>
      </c>
      <c r="H663" s="491">
        <f>I663+J663+K663+L663+M663+N663</f>
        <v>0</v>
      </c>
      <c r="I663" s="486"/>
      <c r="J663" s="125"/>
      <c r="K663" s="113"/>
      <c r="L663" s="113"/>
      <c r="M663" s="113"/>
      <c r="N663" s="113"/>
    </row>
    <row r="664" spans="1:14" s="8" customFormat="1" ht="15" customHeight="1">
      <c r="A664" s="142" t="s">
        <v>325</v>
      </c>
      <c r="B664" s="115"/>
      <c r="C664" s="115">
        <v>310</v>
      </c>
      <c r="D664" s="116" t="s">
        <v>521</v>
      </c>
      <c r="E664" s="115">
        <v>244</v>
      </c>
      <c r="F664" s="115">
        <v>310</v>
      </c>
      <c r="G664" s="102" t="s">
        <v>533</v>
      </c>
      <c r="H664" s="118">
        <f t="shared" si="49"/>
        <v>204248</v>
      </c>
      <c r="I664" s="125">
        <v>0</v>
      </c>
      <c r="J664" s="125"/>
      <c r="K664" s="113"/>
      <c r="L664" s="113"/>
      <c r="M664" s="113">
        <f>104248+100000</f>
        <v>204248</v>
      </c>
      <c r="N664" s="113"/>
    </row>
    <row r="665" spans="1:14" s="8" customFormat="1" ht="15" customHeight="1" hidden="1">
      <c r="A665" s="142" t="s">
        <v>325</v>
      </c>
      <c r="B665" s="487"/>
      <c r="C665" s="487">
        <v>310</v>
      </c>
      <c r="D665" s="488" t="s">
        <v>521</v>
      </c>
      <c r="E665" s="487">
        <v>244</v>
      </c>
      <c r="F665" s="487">
        <v>310</v>
      </c>
      <c r="G665" s="494" t="s">
        <v>533</v>
      </c>
      <c r="H665" s="491">
        <f>I665+J665+K665+L665+M665+N665</f>
        <v>0</v>
      </c>
      <c r="I665" s="485">
        <v>0</v>
      </c>
      <c r="J665" s="485">
        <v>0</v>
      </c>
      <c r="K665" s="113">
        <v>0</v>
      </c>
      <c r="L665" s="113">
        <v>0</v>
      </c>
      <c r="M665" s="497"/>
      <c r="N665" s="113"/>
    </row>
    <row r="666" spans="1:14" s="8" customFormat="1" ht="15" customHeight="1">
      <c r="A666" s="142" t="s">
        <v>326</v>
      </c>
      <c r="B666" s="115"/>
      <c r="C666" s="115">
        <v>320</v>
      </c>
      <c r="D666" s="115"/>
      <c r="E666" s="115">
        <v>244</v>
      </c>
      <c r="F666" s="115">
        <v>320</v>
      </c>
      <c r="G666" s="122"/>
      <c r="H666" s="118">
        <f t="shared" si="49"/>
        <v>0</v>
      </c>
      <c r="I666" s="125">
        <v>0</v>
      </c>
      <c r="J666" s="125"/>
      <c r="K666" s="113"/>
      <c r="L666" s="113"/>
      <c r="M666" s="113"/>
      <c r="N666" s="113"/>
    </row>
    <row r="667" spans="1:14" s="8" customFormat="1" ht="15" customHeight="1">
      <c r="A667" s="142" t="s">
        <v>327</v>
      </c>
      <c r="B667" s="115"/>
      <c r="C667" s="115">
        <v>340</v>
      </c>
      <c r="D667" s="115"/>
      <c r="E667" s="115">
        <v>244</v>
      </c>
      <c r="F667" s="115">
        <v>340</v>
      </c>
      <c r="G667" s="122"/>
      <c r="H667" s="118">
        <f>I667+J667+K667+L667+M667+N667</f>
        <v>5024408.15</v>
      </c>
      <c r="I667" s="125">
        <f>I668+I669+I670+I672+I677+I673+I674</f>
        <v>654364.15</v>
      </c>
      <c r="J667" s="125">
        <f>J668+J669+J670+J672+J677</f>
        <v>0</v>
      </c>
      <c r="K667" s="125">
        <f>K668+K669+K670+K672+K677</f>
        <v>0</v>
      </c>
      <c r="L667" s="125">
        <f>L668+L669+L670+L672+L677</f>
        <v>0</v>
      </c>
      <c r="M667" s="125">
        <f>SUM(M668:M676)</f>
        <v>4370044</v>
      </c>
      <c r="N667" s="125">
        <f>N668+N669+N670+N672+N677</f>
        <v>0</v>
      </c>
    </row>
    <row r="668" spans="1:14" s="8" customFormat="1" ht="15" customHeight="1">
      <c r="A668" s="142" t="s">
        <v>4</v>
      </c>
      <c r="B668" s="115"/>
      <c r="C668" s="115"/>
      <c r="D668" s="115"/>
      <c r="E668" s="115"/>
      <c r="F668" s="115"/>
      <c r="G668" s="122"/>
      <c r="H668" s="118"/>
      <c r="I668" s="125"/>
      <c r="J668" s="125"/>
      <c r="K668" s="113"/>
      <c r="L668" s="113"/>
      <c r="M668" s="113"/>
      <c r="N668" s="113"/>
    </row>
    <row r="669" spans="1:14" s="8" customFormat="1" ht="15" customHeight="1">
      <c r="A669" s="142" t="s">
        <v>328</v>
      </c>
      <c r="B669" s="487"/>
      <c r="C669" s="487">
        <v>340</v>
      </c>
      <c r="D669" s="489">
        <v>800000000</v>
      </c>
      <c r="E669" s="487">
        <v>244</v>
      </c>
      <c r="F669" s="487">
        <v>341</v>
      </c>
      <c r="G669" s="493" t="s">
        <v>827</v>
      </c>
      <c r="H669" s="491">
        <f aca="true" t="shared" si="50" ref="H669:H677">I669+J669+K669+L669+M669+N669</f>
        <v>7000</v>
      </c>
      <c r="I669" s="486">
        <v>7000</v>
      </c>
      <c r="J669" s="125"/>
      <c r="K669" s="113"/>
      <c r="L669" s="113"/>
      <c r="M669" s="113"/>
      <c r="N669" s="113"/>
    </row>
    <row r="670" spans="1:14" s="8" customFormat="1" ht="15" customHeight="1">
      <c r="A670" s="142" t="s">
        <v>329</v>
      </c>
      <c r="B670" s="487"/>
      <c r="C670" s="487">
        <v>340</v>
      </c>
      <c r="D670" s="489">
        <v>800000000</v>
      </c>
      <c r="E670" s="487">
        <v>244</v>
      </c>
      <c r="F670" s="487">
        <v>342</v>
      </c>
      <c r="G670" s="493" t="s">
        <v>827</v>
      </c>
      <c r="H670" s="491">
        <f t="shared" si="50"/>
        <v>437421.05</v>
      </c>
      <c r="I670" s="486">
        <v>437421.05</v>
      </c>
      <c r="J670" s="125"/>
      <c r="K670" s="113"/>
      <c r="L670" s="113"/>
      <c r="M670" s="113"/>
      <c r="N670" s="113"/>
    </row>
    <row r="671" spans="1:14" s="8" customFormat="1" ht="15" customHeight="1">
      <c r="A671" s="142" t="s">
        <v>329</v>
      </c>
      <c r="B671" s="487"/>
      <c r="C671" s="487">
        <v>340</v>
      </c>
      <c r="D671" s="488" t="s">
        <v>521</v>
      </c>
      <c r="E671" s="487">
        <v>244</v>
      </c>
      <c r="F671" s="487">
        <v>342</v>
      </c>
      <c r="G671" s="494" t="s">
        <v>533</v>
      </c>
      <c r="H671" s="491">
        <f t="shared" si="50"/>
        <v>4230044</v>
      </c>
      <c r="I671" s="485">
        <v>0</v>
      </c>
      <c r="J671" s="485">
        <v>0</v>
      </c>
      <c r="K671" s="113">
        <v>0</v>
      </c>
      <c r="L671" s="113">
        <v>0</v>
      </c>
      <c r="M671" s="496">
        <v>4230044</v>
      </c>
      <c r="N671" s="113"/>
    </row>
    <row r="672" spans="1:14" s="8" customFormat="1" ht="15" customHeight="1">
      <c r="A672" s="142" t="s">
        <v>330</v>
      </c>
      <c r="B672" s="115"/>
      <c r="C672" s="115">
        <v>340</v>
      </c>
      <c r="D672" s="115">
        <v>800000000</v>
      </c>
      <c r="E672" s="115">
        <v>244</v>
      </c>
      <c r="F672" s="115">
        <v>346</v>
      </c>
      <c r="G672" s="102" t="s">
        <v>532</v>
      </c>
      <c r="H672" s="118">
        <f t="shared" si="50"/>
        <v>200597.04</v>
      </c>
      <c r="I672" s="125">
        <f>124943.1+75653.94</f>
        <v>200597.04</v>
      </c>
      <c r="J672" s="125"/>
      <c r="K672" s="113"/>
      <c r="L672" s="113"/>
      <c r="M672" s="113"/>
      <c r="N672" s="113"/>
    </row>
    <row r="673" spans="1:14" s="8" customFormat="1" ht="15" customHeight="1">
      <c r="A673" s="142" t="s">
        <v>330</v>
      </c>
      <c r="B673" s="487"/>
      <c r="C673" s="487">
        <v>340</v>
      </c>
      <c r="D673" s="489">
        <v>800000000</v>
      </c>
      <c r="E673" s="487">
        <v>244</v>
      </c>
      <c r="F673" s="487">
        <v>346</v>
      </c>
      <c r="G673" s="493" t="s">
        <v>827</v>
      </c>
      <c r="H673" s="491">
        <f t="shared" si="50"/>
        <v>9346.06</v>
      </c>
      <c r="I673" s="486">
        <v>9346.06</v>
      </c>
      <c r="J673" s="485">
        <v>0</v>
      </c>
      <c r="K673" s="113">
        <v>0</v>
      </c>
      <c r="L673" s="113">
        <v>0</v>
      </c>
      <c r="M673" s="496">
        <v>0</v>
      </c>
      <c r="N673" s="113"/>
    </row>
    <row r="674" spans="1:14" s="8" customFormat="1" ht="15" customHeight="1">
      <c r="A674" s="142" t="s">
        <v>330</v>
      </c>
      <c r="B674" s="487"/>
      <c r="C674" s="487">
        <v>340</v>
      </c>
      <c r="D674" s="489">
        <v>800000000</v>
      </c>
      <c r="E674" s="487">
        <v>244</v>
      </c>
      <c r="F674" s="487">
        <v>346</v>
      </c>
      <c r="G674" s="494" t="s">
        <v>532</v>
      </c>
      <c r="H674" s="491">
        <f t="shared" si="50"/>
        <v>0</v>
      </c>
      <c r="I674" s="486"/>
      <c r="J674" s="485">
        <v>0</v>
      </c>
      <c r="K674" s="113">
        <v>0</v>
      </c>
      <c r="L674" s="113">
        <v>0</v>
      </c>
      <c r="M674" s="496">
        <v>0</v>
      </c>
      <c r="N674" s="113"/>
    </row>
    <row r="675" spans="1:14" s="8" customFormat="1" ht="15" customHeight="1">
      <c r="A675" s="142" t="s">
        <v>848</v>
      </c>
      <c r="B675" s="487"/>
      <c r="C675" s="487">
        <v>340</v>
      </c>
      <c r="D675" s="488" t="s">
        <v>521</v>
      </c>
      <c r="E675" s="487">
        <v>244</v>
      </c>
      <c r="F675" s="487">
        <v>345</v>
      </c>
      <c r="G675" s="494" t="s">
        <v>533</v>
      </c>
      <c r="H675" s="491">
        <f t="shared" si="50"/>
        <v>100000</v>
      </c>
      <c r="I675" s="485">
        <v>0</v>
      </c>
      <c r="J675" s="485">
        <v>0</v>
      </c>
      <c r="K675" s="113">
        <v>0</v>
      </c>
      <c r="L675" s="113">
        <v>0</v>
      </c>
      <c r="M675" s="496">
        <v>100000</v>
      </c>
      <c r="N675" s="113"/>
    </row>
    <row r="676" spans="1:14" s="8" customFormat="1" ht="15" customHeight="1">
      <c r="A676" s="142" t="s">
        <v>330</v>
      </c>
      <c r="B676" s="487"/>
      <c r="C676" s="487">
        <v>340</v>
      </c>
      <c r="D676" s="488" t="s">
        <v>521</v>
      </c>
      <c r="E676" s="487">
        <v>244</v>
      </c>
      <c r="F676" s="487">
        <v>346</v>
      </c>
      <c r="G676" s="494" t="s">
        <v>533</v>
      </c>
      <c r="H676" s="491">
        <f t="shared" si="50"/>
        <v>40000</v>
      </c>
      <c r="I676" s="485">
        <v>0</v>
      </c>
      <c r="J676" s="485">
        <v>0</v>
      </c>
      <c r="K676" s="113">
        <v>0</v>
      </c>
      <c r="L676" s="113">
        <v>0</v>
      </c>
      <c r="M676" s="496">
        <v>40000</v>
      </c>
      <c r="N676" s="113"/>
    </row>
    <row r="677" spans="1:14" s="8" customFormat="1" ht="15" customHeight="1">
      <c r="A677" s="142" t="s">
        <v>331</v>
      </c>
      <c r="B677" s="115"/>
      <c r="C677" s="115"/>
      <c r="D677" s="115"/>
      <c r="E677" s="115"/>
      <c r="F677" s="115"/>
      <c r="G677" s="122"/>
      <c r="H677" s="118">
        <f t="shared" si="50"/>
        <v>0</v>
      </c>
      <c r="I677" s="125">
        <v>0</v>
      </c>
      <c r="J677" s="125"/>
      <c r="K677" s="113"/>
      <c r="L677" s="113"/>
      <c r="M677" s="113"/>
      <c r="N677" s="113"/>
    </row>
    <row r="678" spans="1:14" s="8" customFormat="1" ht="17.25" customHeight="1">
      <c r="A678" s="142" t="s">
        <v>332</v>
      </c>
      <c r="B678" s="115"/>
      <c r="C678" s="115">
        <v>530</v>
      </c>
      <c r="D678" s="115"/>
      <c r="E678" s="115">
        <v>465</v>
      </c>
      <c r="F678" s="115">
        <v>530</v>
      </c>
      <c r="G678" s="122"/>
      <c r="H678" s="118"/>
      <c r="I678" s="125"/>
      <c r="J678" s="125"/>
      <c r="K678" s="113"/>
      <c r="L678" s="113"/>
      <c r="M678" s="113"/>
      <c r="N678" s="113"/>
    </row>
    <row r="679" spans="1:14" s="8" customFormat="1" ht="17.25" customHeight="1">
      <c r="A679" s="142" t="s">
        <v>333</v>
      </c>
      <c r="B679" s="115"/>
      <c r="C679" s="115">
        <v>226</v>
      </c>
      <c r="D679" s="115">
        <v>800000000</v>
      </c>
      <c r="E679" s="115">
        <v>244</v>
      </c>
      <c r="F679" s="115">
        <v>226</v>
      </c>
      <c r="G679" s="122"/>
      <c r="H679" s="118">
        <f>I679+J679+K679+L679+M679+N679</f>
        <v>2187330.48</v>
      </c>
      <c r="I679" s="125">
        <f>SUM(I681:I689)</f>
        <v>1235315.9</v>
      </c>
      <c r="J679" s="125">
        <f>J681+J682+J683</f>
        <v>0</v>
      </c>
      <c r="K679" s="125">
        <f>K681+K682+K683</f>
        <v>0</v>
      </c>
      <c r="L679" s="125">
        <f>L681+L682+L683</f>
        <v>0</v>
      </c>
      <c r="M679" s="125">
        <f>M681+M691+M690</f>
        <v>952014.58</v>
      </c>
      <c r="N679" s="125">
        <f>N681+N682+N683</f>
        <v>0</v>
      </c>
    </row>
    <row r="680" spans="1:14" s="8" customFormat="1" ht="17.25" customHeight="1">
      <c r="A680" s="142" t="s">
        <v>4</v>
      </c>
      <c r="B680" s="115"/>
      <c r="C680" s="115"/>
      <c r="D680" s="115"/>
      <c r="E680" s="115"/>
      <c r="F680" s="115"/>
      <c r="G680" s="122"/>
      <c r="H680" s="118"/>
      <c r="I680" s="125"/>
      <c r="J680" s="125"/>
      <c r="K680" s="113"/>
      <c r="L680" s="113"/>
      <c r="M680" s="113"/>
      <c r="N680" s="113"/>
    </row>
    <row r="681" spans="1:14" s="8" customFormat="1" ht="17.25" customHeight="1">
      <c r="A681" s="142" t="s">
        <v>334</v>
      </c>
      <c r="B681" s="115"/>
      <c r="C681" s="115"/>
      <c r="D681" s="115"/>
      <c r="E681" s="115"/>
      <c r="F681" s="115"/>
      <c r="G681" s="122"/>
      <c r="H681" s="118">
        <f aca="true" t="shared" si="51" ref="H681:H692">I681+J681+K681+L681+M681+N681</f>
        <v>0</v>
      </c>
      <c r="I681" s="125"/>
      <c r="J681" s="125"/>
      <c r="K681" s="113"/>
      <c r="L681" s="113"/>
      <c r="M681" s="113"/>
      <c r="N681" s="113"/>
    </row>
    <row r="682" spans="1:14" s="8" customFormat="1" ht="28.5" customHeight="1">
      <c r="A682" s="142" t="s">
        <v>335</v>
      </c>
      <c r="B682" s="115"/>
      <c r="C682" s="115"/>
      <c r="D682" s="115"/>
      <c r="E682" s="115"/>
      <c r="F682" s="115"/>
      <c r="G682" s="122"/>
      <c r="H682" s="118">
        <f t="shared" si="51"/>
        <v>0</v>
      </c>
      <c r="I682" s="125"/>
      <c r="J682" s="125"/>
      <c r="K682" s="113"/>
      <c r="L682" s="113"/>
      <c r="M682" s="113"/>
      <c r="N682" s="113"/>
    </row>
    <row r="683" spans="1:14" s="8" customFormat="1" ht="17.25" customHeight="1">
      <c r="A683" s="142" t="s">
        <v>336</v>
      </c>
      <c r="B683" s="115"/>
      <c r="C683" s="115">
        <v>226</v>
      </c>
      <c r="D683" s="115">
        <v>800000000</v>
      </c>
      <c r="E683" s="115">
        <v>244</v>
      </c>
      <c r="F683" s="115">
        <v>226</v>
      </c>
      <c r="G683" s="102" t="s">
        <v>531</v>
      </c>
      <c r="H683" s="118">
        <f t="shared" si="51"/>
        <v>105269</v>
      </c>
      <c r="I683" s="125">
        <f>101269+4000</f>
        <v>105269</v>
      </c>
      <c r="J683" s="125"/>
      <c r="K683" s="113"/>
      <c r="L683" s="113"/>
      <c r="M683" s="113"/>
      <c r="N683" s="113"/>
    </row>
    <row r="684" spans="1:14" s="8" customFormat="1" ht="17.25" customHeight="1">
      <c r="A684" s="142" t="s">
        <v>336</v>
      </c>
      <c r="B684" s="115"/>
      <c r="C684" s="115">
        <v>226</v>
      </c>
      <c r="D684" s="115">
        <v>800000000</v>
      </c>
      <c r="E684" s="115">
        <v>244</v>
      </c>
      <c r="F684" s="115">
        <v>226</v>
      </c>
      <c r="G684" s="102" t="s">
        <v>532</v>
      </c>
      <c r="H684" s="118">
        <f t="shared" si="51"/>
        <v>351045.33999999997</v>
      </c>
      <c r="I684" s="125">
        <f>204187.9+146857.44</f>
        <v>351045.33999999997</v>
      </c>
      <c r="J684" s="125"/>
      <c r="K684" s="113"/>
      <c r="L684" s="113"/>
      <c r="M684" s="113"/>
      <c r="N684" s="113"/>
    </row>
    <row r="685" spans="1:14" s="8" customFormat="1" ht="17.25" customHeight="1" hidden="1">
      <c r="A685" s="142" t="s">
        <v>335</v>
      </c>
      <c r="B685" s="487"/>
      <c r="C685" s="489">
        <v>226</v>
      </c>
      <c r="D685" s="489">
        <v>800000000</v>
      </c>
      <c r="E685" s="489">
        <v>244</v>
      </c>
      <c r="F685" s="489">
        <v>226</v>
      </c>
      <c r="G685" s="493" t="s">
        <v>827</v>
      </c>
      <c r="H685" s="491">
        <f t="shared" si="51"/>
        <v>0</v>
      </c>
      <c r="I685" s="486"/>
      <c r="J685" s="125"/>
      <c r="K685" s="113"/>
      <c r="L685" s="113"/>
      <c r="M685" s="113"/>
      <c r="N685" s="113"/>
    </row>
    <row r="686" spans="1:14" s="8" customFormat="1" ht="17.25" customHeight="1">
      <c r="A686" s="142" t="s">
        <v>336</v>
      </c>
      <c r="B686" s="487"/>
      <c r="C686" s="489">
        <v>226</v>
      </c>
      <c r="D686" s="489">
        <v>800000000</v>
      </c>
      <c r="E686" s="489">
        <v>244</v>
      </c>
      <c r="F686" s="489">
        <v>226</v>
      </c>
      <c r="G686" s="490" t="s">
        <v>535</v>
      </c>
      <c r="H686" s="491">
        <f>I686+J686+K686+L686+M686+N686</f>
        <v>8000</v>
      </c>
      <c r="I686" s="486">
        <v>8000</v>
      </c>
      <c r="J686" s="125"/>
      <c r="K686" s="113"/>
      <c r="L686" s="113"/>
      <c r="M686" s="113"/>
      <c r="N686" s="113"/>
    </row>
    <row r="687" spans="1:14" s="8" customFormat="1" ht="17.25" customHeight="1" hidden="1">
      <c r="A687" s="142" t="s">
        <v>336</v>
      </c>
      <c r="B687" s="487"/>
      <c r="C687" s="489">
        <v>226</v>
      </c>
      <c r="D687" s="489">
        <v>800000000</v>
      </c>
      <c r="E687" s="489">
        <v>244</v>
      </c>
      <c r="F687" s="489">
        <v>226</v>
      </c>
      <c r="G687" s="490" t="s">
        <v>531</v>
      </c>
      <c r="H687" s="491">
        <f t="shared" si="51"/>
        <v>0</v>
      </c>
      <c r="I687" s="486"/>
      <c r="J687" s="125"/>
      <c r="K687" s="113"/>
      <c r="L687" s="113"/>
      <c r="M687" s="113"/>
      <c r="N687" s="113"/>
    </row>
    <row r="688" spans="1:14" s="8" customFormat="1" ht="17.25" customHeight="1">
      <c r="A688" s="142" t="s">
        <v>336</v>
      </c>
      <c r="B688" s="487"/>
      <c r="C688" s="487">
        <v>226</v>
      </c>
      <c r="D688" s="489">
        <v>800000000</v>
      </c>
      <c r="E688" s="487">
        <v>244</v>
      </c>
      <c r="F688" s="487">
        <v>226</v>
      </c>
      <c r="G688" s="493" t="s">
        <v>827</v>
      </c>
      <c r="H688" s="491">
        <f t="shared" si="51"/>
        <v>771001.56</v>
      </c>
      <c r="I688" s="486">
        <f>768001.56+3000</f>
        <v>771001.56</v>
      </c>
      <c r="J688" s="125"/>
      <c r="K688" s="113"/>
      <c r="L688" s="113"/>
      <c r="M688" s="113"/>
      <c r="N688" s="113"/>
    </row>
    <row r="689" spans="1:14" s="8" customFormat="1" ht="17.25" customHeight="1">
      <c r="A689" s="142" t="s">
        <v>336</v>
      </c>
      <c r="B689" s="487"/>
      <c r="C689" s="487">
        <v>226</v>
      </c>
      <c r="D689" s="489">
        <v>800000000</v>
      </c>
      <c r="E689" s="487">
        <v>244</v>
      </c>
      <c r="F689" s="487">
        <v>226</v>
      </c>
      <c r="G689" s="494" t="s">
        <v>532</v>
      </c>
      <c r="H689" s="491">
        <f t="shared" si="51"/>
        <v>0</v>
      </c>
      <c r="I689" s="486"/>
      <c r="J689" s="125"/>
      <c r="K689" s="113"/>
      <c r="L689" s="113"/>
      <c r="M689" s="113"/>
      <c r="N689" s="113"/>
    </row>
    <row r="690" spans="1:14" s="8" customFormat="1" ht="17.25" customHeight="1">
      <c r="A690" s="142" t="s">
        <v>336</v>
      </c>
      <c r="B690" s="115"/>
      <c r="C690" s="115">
        <v>226</v>
      </c>
      <c r="D690" s="116" t="s">
        <v>521</v>
      </c>
      <c r="E690" s="115">
        <v>244</v>
      </c>
      <c r="F690" s="115">
        <v>226</v>
      </c>
      <c r="G690" s="102" t="s">
        <v>533</v>
      </c>
      <c r="H690" s="118">
        <f t="shared" si="51"/>
        <v>952014.58</v>
      </c>
      <c r="I690" s="125">
        <v>0</v>
      </c>
      <c r="J690" s="125"/>
      <c r="K690" s="113"/>
      <c r="L690" s="113"/>
      <c r="M690" s="113">
        <f>774014.58+178000</f>
        <v>952014.58</v>
      </c>
      <c r="N690" s="113"/>
    </row>
    <row r="691" spans="1:14" s="8" customFormat="1" ht="17.25" customHeight="1" hidden="1">
      <c r="A691" s="142" t="s">
        <v>336</v>
      </c>
      <c r="B691" s="487"/>
      <c r="C691" s="487">
        <v>226</v>
      </c>
      <c r="D691" s="488" t="s">
        <v>521</v>
      </c>
      <c r="E691" s="487"/>
      <c r="F691" s="487">
        <v>226</v>
      </c>
      <c r="G691" s="494" t="s">
        <v>533</v>
      </c>
      <c r="H691" s="491">
        <f t="shared" si="51"/>
        <v>0</v>
      </c>
      <c r="I691" s="485">
        <v>0</v>
      </c>
      <c r="J691" s="485">
        <v>0</v>
      </c>
      <c r="K691" s="113">
        <v>0</v>
      </c>
      <c r="L691" s="113">
        <v>0</v>
      </c>
      <c r="M691" s="497"/>
      <c r="N691" s="113"/>
    </row>
    <row r="692" spans="1:14" s="8" customFormat="1" ht="17.25" customHeight="1">
      <c r="A692" s="142" t="s">
        <v>400</v>
      </c>
      <c r="B692" s="115"/>
      <c r="C692" s="115">
        <v>296</v>
      </c>
      <c r="D692" s="115"/>
      <c r="E692" s="115">
        <v>244</v>
      </c>
      <c r="F692" s="115">
        <v>296</v>
      </c>
      <c r="G692" s="122"/>
      <c r="H692" s="118">
        <f t="shared" si="51"/>
        <v>0</v>
      </c>
      <c r="I692" s="125"/>
      <c r="J692" s="125"/>
      <c r="K692" s="113"/>
      <c r="L692" s="113"/>
      <c r="M692" s="113"/>
      <c r="N692" s="113"/>
    </row>
    <row r="693" spans="1:14" s="8" customFormat="1" ht="17.25" customHeight="1">
      <c r="A693" s="136" t="s">
        <v>53</v>
      </c>
      <c r="B693" s="115">
        <v>300</v>
      </c>
      <c r="C693" s="115" t="s">
        <v>10</v>
      </c>
      <c r="D693" s="115"/>
      <c r="E693" s="115"/>
      <c r="F693" s="115" t="s">
        <v>10</v>
      </c>
      <c r="G693" s="122"/>
      <c r="H693" s="118">
        <f>H695+H696</f>
        <v>0</v>
      </c>
      <c r="I693" s="125">
        <f aca="true" t="shared" si="52" ref="I693:N693">I695+I696</f>
        <v>0</v>
      </c>
      <c r="J693" s="125">
        <f t="shared" si="52"/>
        <v>0</v>
      </c>
      <c r="K693" s="125">
        <f t="shared" si="52"/>
        <v>0</v>
      </c>
      <c r="L693" s="125">
        <f t="shared" si="52"/>
        <v>0</v>
      </c>
      <c r="M693" s="125">
        <f t="shared" si="52"/>
        <v>0</v>
      </c>
      <c r="N693" s="125">
        <f t="shared" si="52"/>
        <v>0</v>
      </c>
    </row>
    <row r="694" spans="1:14" s="8" customFormat="1" ht="14.25" customHeight="1">
      <c r="A694" s="136" t="s">
        <v>3</v>
      </c>
      <c r="B694" s="115"/>
      <c r="C694" s="148"/>
      <c r="D694" s="115"/>
      <c r="E694" s="115"/>
      <c r="F694" s="148"/>
      <c r="G694" s="149"/>
      <c r="H694" s="118"/>
      <c r="I694" s="125"/>
      <c r="J694" s="125"/>
      <c r="K694" s="113"/>
      <c r="L694" s="113"/>
      <c r="M694" s="113"/>
      <c r="N694" s="113"/>
    </row>
    <row r="695" spans="1:14" s="8" customFormat="1" ht="16.5" customHeight="1">
      <c r="A695" s="136" t="s">
        <v>54</v>
      </c>
      <c r="B695" s="144">
        <v>310</v>
      </c>
      <c r="C695" s="150"/>
      <c r="D695" s="144"/>
      <c r="E695" s="144"/>
      <c r="F695" s="150"/>
      <c r="G695" s="151"/>
      <c r="H695" s="118">
        <f>I695+J695+K695+L695+M695+N695</f>
        <v>0</v>
      </c>
      <c r="I695" s="125"/>
      <c r="J695" s="125"/>
      <c r="K695" s="113"/>
      <c r="L695" s="113"/>
      <c r="M695" s="113"/>
      <c r="N695" s="113"/>
    </row>
    <row r="696" spans="1:14" s="152" customFormat="1" ht="15" customHeight="1">
      <c r="A696" s="136" t="s">
        <v>55</v>
      </c>
      <c r="B696" s="115">
        <v>320</v>
      </c>
      <c r="C696" s="115"/>
      <c r="D696" s="115"/>
      <c r="E696" s="115"/>
      <c r="F696" s="115"/>
      <c r="G696" s="122"/>
      <c r="H696" s="118">
        <f>I696+J696+K696+L696+M696+N696</f>
        <v>0</v>
      </c>
      <c r="I696" s="125"/>
      <c r="J696" s="125"/>
      <c r="K696" s="113"/>
      <c r="L696" s="113"/>
      <c r="M696" s="113"/>
      <c r="N696" s="113"/>
    </row>
    <row r="697" spans="1:14" s="152" customFormat="1" ht="17.25" customHeight="1">
      <c r="A697" s="136" t="s">
        <v>56</v>
      </c>
      <c r="B697" s="115">
        <v>400</v>
      </c>
      <c r="C697" s="115"/>
      <c r="D697" s="115"/>
      <c r="E697" s="115"/>
      <c r="F697" s="115"/>
      <c r="G697" s="122"/>
      <c r="H697" s="118">
        <f>H699+H700</f>
        <v>0</v>
      </c>
      <c r="I697" s="125">
        <f aca="true" t="shared" si="53" ref="I697:N697">I699+I700</f>
        <v>0</v>
      </c>
      <c r="J697" s="125">
        <f t="shared" si="53"/>
        <v>0</v>
      </c>
      <c r="K697" s="125">
        <f t="shared" si="53"/>
        <v>0</v>
      </c>
      <c r="L697" s="125">
        <f t="shared" si="53"/>
        <v>0</v>
      </c>
      <c r="M697" s="125">
        <f t="shared" si="53"/>
        <v>0</v>
      </c>
      <c r="N697" s="125">
        <f t="shared" si="53"/>
        <v>0</v>
      </c>
    </row>
    <row r="698" spans="1:14" s="152" customFormat="1" ht="14.25" customHeight="1">
      <c r="A698" s="136" t="s">
        <v>3</v>
      </c>
      <c r="B698" s="115"/>
      <c r="C698" s="148"/>
      <c r="D698" s="115"/>
      <c r="E698" s="115"/>
      <c r="F698" s="148"/>
      <c r="G698" s="149"/>
      <c r="H698" s="118"/>
      <c r="I698" s="125"/>
      <c r="J698" s="125"/>
      <c r="K698" s="113"/>
      <c r="L698" s="113"/>
      <c r="M698" s="113"/>
      <c r="N698" s="113"/>
    </row>
    <row r="699" spans="1:14" s="152" customFormat="1" ht="15.75" customHeight="1">
      <c r="A699" s="136" t="s">
        <v>57</v>
      </c>
      <c r="B699" s="144">
        <v>410</v>
      </c>
      <c r="C699" s="150"/>
      <c r="D699" s="144"/>
      <c r="E699" s="144"/>
      <c r="F699" s="150"/>
      <c r="G699" s="151"/>
      <c r="H699" s="118">
        <f aca="true" t="shared" si="54" ref="H699:H709">I699+J699+K699+L699+M699+N699</f>
        <v>0</v>
      </c>
      <c r="I699" s="125"/>
      <c r="J699" s="125"/>
      <c r="K699" s="113"/>
      <c r="L699" s="113"/>
      <c r="M699" s="113"/>
      <c r="N699" s="113"/>
    </row>
    <row r="700" spans="1:14" s="152" customFormat="1" ht="13.5" customHeight="1">
      <c r="A700" s="136" t="s">
        <v>58</v>
      </c>
      <c r="B700" s="115">
        <v>420</v>
      </c>
      <c r="C700" s="115"/>
      <c r="D700" s="115"/>
      <c r="E700" s="115"/>
      <c r="F700" s="115"/>
      <c r="G700" s="122"/>
      <c r="H700" s="118">
        <f t="shared" si="54"/>
        <v>0</v>
      </c>
      <c r="I700" s="125"/>
      <c r="J700" s="125"/>
      <c r="K700" s="113"/>
      <c r="L700" s="113"/>
      <c r="M700" s="113"/>
      <c r="N700" s="113"/>
    </row>
    <row r="701" spans="1:14" s="152" customFormat="1" ht="28.5" customHeight="1">
      <c r="A701" s="136" t="s">
        <v>337</v>
      </c>
      <c r="B701" s="115">
        <v>500</v>
      </c>
      <c r="C701" s="115" t="s">
        <v>10</v>
      </c>
      <c r="D701" s="115"/>
      <c r="E701" s="115"/>
      <c r="F701" s="115" t="s">
        <v>10</v>
      </c>
      <c r="G701" s="122"/>
      <c r="H701" s="118">
        <f t="shared" si="54"/>
        <v>0</v>
      </c>
      <c r="I701" s="125">
        <f>I702+I703</f>
        <v>0</v>
      </c>
      <c r="J701" s="125">
        <f>J702+J703</f>
        <v>0</v>
      </c>
      <c r="K701" s="125">
        <f>K702+K703</f>
        <v>0</v>
      </c>
      <c r="L701" s="125">
        <f>L702+L703</f>
        <v>0</v>
      </c>
      <c r="M701" s="125">
        <f>M702+M703+M704+M705+M706+M707</f>
        <v>0</v>
      </c>
      <c r="N701" s="125">
        <f>N702+N703</f>
        <v>0</v>
      </c>
    </row>
    <row r="702" spans="1:14" s="152" customFormat="1" ht="18" customHeight="1">
      <c r="A702" s="136" t="s">
        <v>59</v>
      </c>
      <c r="B702" s="115"/>
      <c r="C702" s="115">
        <v>131</v>
      </c>
      <c r="D702" s="115">
        <v>800000000</v>
      </c>
      <c r="E702" s="115"/>
      <c r="F702" s="115">
        <v>131</v>
      </c>
      <c r="G702" s="102" t="s">
        <v>532</v>
      </c>
      <c r="H702" s="118">
        <f t="shared" si="54"/>
        <v>0</v>
      </c>
      <c r="I702" s="153">
        <v>0</v>
      </c>
      <c r="J702" s="125"/>
      <c r="K702" s="113"/>
      <c r="L702" s="113"/>
      <c r="M702" s="113"/>
      <c r="N702" s="113"/>
    </row>
    <row r="703" spans="1:14" s="152" customFormat="1" ht="18" customHeight="1">
      <c r="A703" s="136" t="s">
        <v>59</v>
      </c>
      <c r="B703" s="115"/>
      <c r="C703" s="115">
        <v>152</v>
      </c>
      <c r="D703" s="115">
        <v>901480000</v>
      </c>
      <c r="E703" s="115"/>
      <c r="F703" s="115">
        <v>152</v>
      </c>
      <c r="G703" s="122" t="s">
        <v>535</v>
      </c>
      <c r="H703" s="118">
        <f t="shared" si="54"/>
        <v>0</v>
      </c>
      <c r="I703" s="153">
        <v>0</v>
      </c>
      <c r="J703" s="125"/>
      <c r="K703" s="113"/>
      <c r="L703" s="113"/>
      <c r="M703" s="113"/>
      <c r="N703" s="113"/>
    </row>
    <row r="704" spans="1:14" s="152" customFormat="1" ht="18" customHeight="1">
      <c r="A704" s="136" t="s">
        <v>59</v>
      </c>
      <c r="B704" s="115"/>
      <c r="C704" s="115">
        <v>121</v>
      </c>
      <c r="D704" s="116" t="s">
        <v>521</v>
      </c>
      <c r="E704" s="115"/>
      <c r="F704" s="115">
        <v>121</v>
      </c>
      <c r="G704" s="102" t="s">
        <v>533</v>
      </c>
      <c r="H704" s="118">
        <f t="shared" si="54"/>
        <v>0</v>
      </c>
      <c r="I704" s="153">
        <v>0</v>
      </c>
      <c r="J704" s="125"/>
      <c r="K704" s="113"/>
      <c r="L704" s="113"/>
      <c r="M704" s="113"/>
      <c r="N704" s="113"/>
    </row>
    <row r="705" spans="1:14" s="152" customFormat="1" ht="18" customHeight="1">
      <c r="A705" s="136" t="s">
        <v>59</v>
      </c>
      <c r="B705" s="115"/>
      <c r="C705" s="115">
        <v>131</v>
      </c>
      <c r="D705" s="116" t="s">
        <v>521</v>
      </c>
      <c r="E705" s="115"/>
      <c r="F705" s="115">
        <v>131</v>
      </c>
      <c r="G705" s="102" t="s">
        <v>533</v>
      </c>
      <c r="H705" s="118">
        <f t="shared" si="54"/>
        <v>0</v>
      </c>
      <c r="I705" s="153">
        <v>0</v>
      </c>
      <c r="J705" s="125"/>
      <c r="K705" s="113"/>
      <c r="L705" s="113"/>
      <c r="M705" s="113"/>
      <c r="N705" s="113"/>
    </row>
    <row r="706" spans="1:14" s="152" customFormat="1" ht="18" customHeight="1">
      <c r="A706" s="136" t="s">
        <v>59</v>
      </c>
      <c r="B706" s="115"/>
      <c r="C706" s="115">
        <v>135</v>
      </c>
      <c r="D706" s="116" t="s">
        <v>521</v>
      </c>
      <c r="E706" s="115"/>
      <c r="F706" s="115">
        <v>135</v>
      </c>
      <c r="G706" s="102" t="s">
        <v>533</v>
      </c>
      <c r="H706" s="118">
        <f t="shared" si="54"/>
        <v>0</v>
      </c>
      <c r="I706" s="153">
        <v>0</v>
      </c>
      <c r="J706" s="125"/>
      <c r="K706" s="113"/>
      <c r="L706" s="113"/>
      <c r="M706" s="113"/>
      <c r="N706" s="113"/>
    </row>
    <row r="707" spans="1:14" s="152" customFormat="1" ht="18" customHeight="1">
      <c r="A707" s="136" t="s">
        <v>59</v>
      </c>
      <c r="B707" s="115"/>
      <c r="C707" s="115">
        <v>189</v>
      </c>
      <c r="D707" s="116" t="s">
        <v>521</v>
      </c>
      <c r="E707" s="115"/>
      <c r="F707" s="115">
        <v>189</v>
      </c>
      <c r="G707" s="102" t="s">
        <v>533</v>
      </c>
      <c r="H707" s="118">
        <f t="shared" si="54"/>
        <v>0</v>
      </c>
      <c r="I707" s="153">
        <v>0</v>
      </c>
      <c r="J707" s="125"/>
      <c r="K707" s="113"/>
      <c r="L707" s="113"/>
      <c r="M707" s="113"/>
      <c r="N707" s="113"/>
    </row>
    <row r="708" spans="1:14" s="152" customFormat="1" ht="18" customHeight="1">
      <c r="A708" s="136" t="s">
        <v>60</v>
      </c>
      <c r="B708" s="115">
        <v>600</v>
      </c>
      <c r="C708" s="115" t="s">
        <v>10</v>
      </c>
      <c r="D708" s="115"/>
      <c r="E708" s="115"/>
      <c r="F708" s="115" t="s">
        <v>10</v>
      </c>
      <c r="G708" s="122"/>
      <c r="H708" s="118">
        <f t="shared" si="54"/>
        <v>0</v>
      </c>
      <c r="I708" s="118">
        <f>I508-I570</f>
        <v>0</v>
      </c>
      <c r="J708" s="118">
        <f>J508-J570</f>
        <v>0</v>
      </c>
      <c r="K708" s="118"/>
      <c r="L708" s="118"/>
      <c r="M708" s="118">
        <f>M508-M570</f>
        <v>0</v>
      </c>
      <c r="N708" s="120"/>
    </row>
    <row r="709" spans="1:14" s="152" customFormat="1" ht="18" customHeight="1">
      <c r="A709" s="136" t="s">
        <v>60</v>
      </c>
      <c r="B709" s="115">
        <v>600</v>
      </c>
      <c r="C709" s="115" t="s">
        <v>10</v>
      </c>
      <c r="D709" s="115"/>
      <c r="E709" s="115"/>
      <c r="F709" s="115" t="s">
        <v>10</v>
      </c>
      <c r="G709" s="122"/>
      <c r="H709" s="118">
        <f t="shared" si="54"/>
        <v>0</v>
      </c>
      <c r="I709" s="118">
        <f>I508-I570</f>
        <v>0</v>
      </c>
      <c r="J709" s="118">
        <f>J508-J570</f>
        <v>0</v>
      </c>
      <c r="K709" s="118"/>
      <c r="L709" s="118"/>
      <c r="M709" s="118">
        <f>M508-M570</f>
        <v>0</v>
      </c>
      <c r="N709" s="120"/>
    </row>
    <row r="710" spans="1:14" ht="15">
      <c r="A710" s="39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</sheetData>
  <sheetProtection/>
  <mergeCells count="53">
    <mergeCell ref="K505:K506"/>
    <mergeCell ref="L505:L506"/>
    <mergeCell ref="M505:N505"/>
    <mergeCell ref="L295:L296"/>
    <mergeCell ref="M295:N295"/>
    <mergeCell ref="H500:K500"/>
    <mergeCell ref="H501:K501"/>
    <mergeCell ref="H503:N503"/>
    <mergeCell ref="H504:H506"/>
    <mergeCell ref="I505:I506"/>
    <mergeCell ref="A503:A506"/>
    <mergeCell ref="B503:B506"/>
    <mergeCell ref="D503:D506"/>
    <mergeCell ref="E503:E506"/>
    <mergeCell ref="F503:F506"/>
    <mergeCell ref="G503:G506"/>
    <mergeCell ref="I504:N504"/>
    <mergeCell ref="H289:K289"/>
    <mergeCell ref="H290:K290"/>
    <mergeCell ref="H291:K291"/>
    <mergeCell ref="A293:A296"/>
    <mergeCell ref="B293:B296"/>
    <mergeCell ref="D293:D296"/>
    <mergeCell ref="E293:E296"/>
    <mergeCell ref="J295:J296"/>
    <mergeCell ref="F293:F296"/>
    <mergeCell ref="G293:G296"/>
    <mergeCell ref="H293:N293"/>
    <mergeCell ref="H294:H296"/>
    <mergeCell ref="K8:K9"/>
    <mergeCell ref="I294:N294"/>
    <mergeCell ref="I295:I296"/>
    <mergeCell ref="K295:K296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J505:J506"/>
    <mergeCell ref="C6:C9"/>
    <mergeCell ref="C293:C296"/>
    <mergeCell ref="C503:C506"/>
    <mergeCell ref="G6:G9"/>
    <mergeCell ref="H6:N6"/>
    <mergeCell ref="H7:H9"/>
    <mergeCell ref="M8:N8"/>
    <mergeCell ref="I7:N7"/>
    <mergeCell ref="I8:I9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53" r:id="rId1"/>
  <rowBreaks count="11" manualBreakCount="11">
    <brk id="56" max="13" man="1"/>
    <brk id="93" max="13" man="1"/>
    <brk id="129" max="13" man="1"/>
    <brk id="175" max="13" man="1"/>
    <brk id="266" max="13" man="1"/>
    <brk id="287" max="13" man="1"/>
    <brk id="350" max="13" man="1"/>
    <brk id="415" max="13" man="1"/>
    <brk id="497" max="13" man="1"/>
    <brk id="557" max="13" man="1"/>
    <brk id="62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1">
      <selection activeCell="B1" sqref="B1:E16384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5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5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5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5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5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1">
      <selection activeCell="B1" sqref="B1:C16384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4">
        <v>901010000</v>
      </c>
      <c r="C7" s="60" t="s">
        <v>228</v>
      </c>
    </row>
    <row r="8" spans="2:3" ht="15">
      <c r="B8" s="184">
        <v>901020000</v>
      </c>
      <c r="C8" s="60" t="s">
        <v>229</v>
      </c>
    </row>
    <row r="9" spans="2:3" ht="15">
      <c r="B9" s="184">
        <v>901030000</v>
      </c>
      <c r="C9" s="60" t="s">
        <v>230</v>
      </c>
    </row>
    <row r="10" spans="2:3" ht="15">
      <c r="B10" s="184">
        <v>901040000</v>
      </c>
      <c r="C10" s="60" t="s">
        <v>231</v>
      </c>
    </row>
    <row r="11" spans="2:3" ht="15">
      <c r="B11" s="184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4">
        <v>901140000</v>
      </c>
      <c r="C15" s="60" t="s">
        <v>234</v>
      </c>
    </row>
    <row r="16" spans="2:3" ht="15">
      <c r="B16" s="184">
        <v>901150000</v>
      </c>
      <c r="C16" s="60" t="s">
        <v>235</v>
      </c>
    </row>
    <row r="17" spans="2:3" ht="15">
      <c r="B17" s="184">
        <v>901160000</v>
      </c>
      <c r="C17" s="60" t="s">
        <v>236</v>
      </c>
    </row>
    <row r="18" spans="2:3" ht="30">
      <c r="B18" s="184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">
      <selection activeCell="K29" sqref="K29:K34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23.851562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767</v>
      </c>
      <c r="G4" s="46"/>
    </row>
    <row r="5" ht="15.75">
      <c r="A5" s="30"/>
    </row>
    <row r="6" ht="15.75">
      <c r="A6" s="30"/>
    </row>
    <row r="7" spans="1:12" ht="15.75" customHeight="1">
      <c r="A7" s="631" t="s">
        <v>64</v>
      </c>
      <c r="B7" s="631" t="s">
        <v>45</v>
      </c>
      <c r="C7" s="631" t="s">
        <v>65</v>
      </c>
      <c r="D7" s="631" t="s">
        <v>66</v>
      </c>
      <c r="E7" s="631"/>
      <c r="F7" s="631"/>
      <c r="G7" s="631"/>
      <c r="H7" s="631"/>
      <c r="I7" s="631"/>
      <c r="J7" s="631"/>
      <c r="K7" s="631"/>
      <c r="L7" s="631"/>
    </row>
    <row r="8" spans="1:12" ht="15.75">
      <c r="A8" s="631"/>
      <c r="B8" s="631"/>
      <c r="C8" s="631"/>
      <c r="D8" s="631" t="s">
        <v>67</v>
      </c>
      <c r="E8" s="631"/>
      <c r="F8" s="631"/>
      <c r="G8" s="631"/>
      <c r="H8" s="631"/>
      <c r="I8" s="631"/>
      <c r="J8" s="631"/>
      <c r="K8" s="631"/>
      <c r="L8" s="631"/>
    </row>
    <row r="9" spans="1:12" ht="15.75">
      <c r="A9" s="631"/>
      <c r="B9" s="631"/>
      <c r="C9" s="631"/>
      <c r="D9" s="631" t="s">
        <v>68</v>
      </c>
      <c r="E9" s="631"/>
      <c r="F9" s="631"/>
      <c r="G9" s="631" t="s">
        <v>4</v>
      </c>
      <c r="H9" s="631"/>
      <c r="I9" s="631"/>
      <c r="J9" s="631"/>
      <c r="K9" s="631"/>
      <c r="L9" s="631"/>
    </row>
    <row r="10" spans="1:12" ht="47.25" customHeight="1">
      <c r="A10" s="631"/>
      <c r="B10" s="631"/>
      <c r="C10" s="631"/>
      <c r="D10" s="631"/>
      <c r="E10" s="631"/>
      <c r="F10" s="631"/>
      <c r="G10" s="631" t="s">
        <v>69</v>
      </c>
      <c r="H10" s="631"/>
      <c r="I10" s="631"/>
      <c r="J10" s="631" t="s">
        <v>70</v>
      </c>
      <c r="K10" s="631"/>
      <c r="L10" s="631"/>
    </row>
    <row r="11" spans="1:12" ht="50.25" customHeight="1">
      <c r="A11" s="631"/>
      <c r="B11" s="631"/>
      <c r="C11" s="631"/>
      <c r="D11" s="631"/>
      <c r="E11" s="631"/>
      <c r="F11" s="631"/>
      <c r="G11" s="632" t="s">
        <v>288</v>
      </c>
      <c r="H11" s="633"/>
      <c r="I11" s="634"/>
      <c r="J11" s="632" t="s">
        <v>71</v>
      </c>
      <c r="K11" s="633"/>
      <c r="L11" s="634"/>
    </row>
    <row r="12" spans="1:12" ht="78.75" customHeight="1">
      <c r="A12" s="631"/>
      <c r="B12" s="631"/>
      <c r="C12" s="631"/>
      <c r="D12" s="631"/>
      <c r="E12" s="631"/>
      <c r="F12" s="631"/>
      <c r="G12" s="635"/>
      <c r="H12" s="636"/>
      <c r="I12" s="637"/>
      <c r="J12" s="635"/>
      <c r="K12" s="636"/>
      <c r="L12" s="637"/>
    </row>
    <row r="13" spans="1:12" ht="15.75" customHeight="1">
      <c r="A13" s="631"/>
      <c r="B13" s="631"/>
      <c r="C13" s="631"/>
      <c r="D13" s="631" t="s">
        <v>426</v>
      </c>
      <c r="E13" s="631" t="s">
        <v>287</v>
      </c>
      <c r="F13" s="631" t="s">
        <v>427</v>
      </c>
      <c r="G13" s="631" t="s">
        <v>428</v>
      </c>
      <c r="H13" s="631" t="s">
        <v>287</v>
      </c>
      <c r="I13" s="48" t="s">
        <v>429</v>
      </c>
      <c r="J13" s="631" t="s">
        <v>426</v>
      </c>
      <c r="K13" s="631" t="s">
        <v>287</v>
      </c>
      <c r="L13" s="631" t="s">
        <v>427</v>
      </c>
    </row>
    <row r="14" spans="1:12" ht="47.25">
      <c r="A14" s="631"/>
      <c r="B14" s="631"/>
      <c r="C14" s="631"/>
      <c r="D14" s="631"/>
      <c r="E14" s="631"/>
      <c r="F14" s="631"/>
      <c r="G14" s="631"/>
      <c r="H14" s="631"/>
      <c r="I14" s="48" t="s">
        <v>72</v>
      </c>
      <c r="J14" s="631"/>
      <c r="K14" s="631"/>
      <c r="L14" s="631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643" t="s">
        <v>76</v>
      </c>
      <c r="C16" s="642" t="s">
        <v>74</v>
      </c>
      <c r="D16" s="644">
        <f aca="true" t="shared" si="0" ref="D16:L16">D29</f>
        <v>20994703.159999996</v>
      </c>
      <c r="E16" s="639">
        <f>K16</f>
        <v>17839467.479999997</v>
      </c>
      <c r="F16" s="639">
        <f>L16</f>
        <v>17859467.48</v>
      </c>
      <c r="G16" s="639">
        <f t="shared" si="0"/>
        <v>0</v>
      </c>
      <c r="H16" s="639">
        <f t="shared" si="0"/>
        <v>0</v>
      </c>
      <c r="I16" s="639">
        <f t="shared" si="0"/>
        <v>0</v>
      </c>
      <c r="J16" s="639">
        <f t="shared" si="0"/>
        <v>20994703.159999996</v>
      </c>
      <c r="K16" s="639">
        <f t="shared" si="0"/>
        <v>17839467.479999997</v>
      </c>
      <c r="L16" s="639">
        <f t="shared" si="0"/>
        <v>17859467.48</v>
      </c>
    </row>
    <row r="17" spans="1:12" ht="15.75">
      <c r="A17" s="33" t="s">
        <v>5</v>
      </c>
      <c r="B17" s="643"/>
      <c r="C17" s="642"/>
      <c r="D17" s="644"/>
      <c r="E17" s="639"/>
      <c r="F17" s="639"/>
      <c r="G17" s="639"/>
      <c r="H17" s="639"/>
      <c r="I17" s="639"/>
      <c r="J17" s="639"/>
      <c r="K17" s="639"/>
      <c r="L17" s="639"/>
    </row>
    <row r="18" spans="1:12" ht="15">
      <c r="A18" s="32"/>
      <c r="B18" s="643"/>
      <c r="C18" s="642"/>
      <c r="D18" s="644"/>
      <c r="E18" s="639"/>
      <c r="F18" s="639"/>
      <c r="G18" s="639"/>
      <c r="H18" s="639"/>
      <c r="I18" s="639"/>
      <c r="J18" s="639"/>
      <c r="K18" s="639"/>
      <c r="L18" s="639"/>
    </row>
    <row r="19" spans="1:12" ht="84.75" customHeight="1">
      <c r="A19" s="640" t="s">
        <v>75</v>
      </c>
      <c r="B19" s="642">
        <v>1001</v>
      </c>
      <c r="C19" s="642" t="s">
        <v>74</v>
      </c>
      <c r="D19" s="639">
        <v>0</v>
      </c>
      <c r="E19" s="639">
        <v>0</v>
      </c>
      <c r="F19" s="639">
        <v>0</v>
      </c>
      <c r="G19" s="639">
        <v>0</v>
      </c>
      <c r="H19" s="639">
        <v>0</v>
      </c>
      <c r="I19" s="639">
        <v>0</v>
      </c>
      <c r="J19" s="639">
        <v>0</v>
      </c>
      <c r="K19" s="639">
        <v>0</v>
      </c>
      <c r="L19" s="639">
        <v>0</v>
      </c>
    </row>
    <row r="20" spans="1:12" ht="15" customHeight="1">
      <c r="A20" s="641"/>
      <c r="B20" s="642"/>
      <c r="C20" s="642"/>
      <c r="D20" s="639"/>
      <c r="E20" s="639"/>
      <c r="F20" s="639"/>
      <c r="G20" s="639"/>
      <c r="H20" s="639"/>
      <c r="I20" s="639"/>
      <c r="J20" s="639"/>
      <c r="K20" s="639"/>
      <c r="L20" s="639"/>
    </row>
    <row r="21" spans="1:12" ht="15" customHeight="1">
      <c r="A21" s="641"/>
      <c r="B21" s="642"/>
      <c r="C21" s="642"/>
      <c r="D21" s="639"/>
      <c r="E21" s="639"/>
      <c r="F21" s="639"/>
      <c r="G21" s="639"/>
      <c r="H21" s="639"/>
      <c r="I21" s="639"/>
      <c r="J21" s="639"/>
      <c r="K21" s="639"/>
      <c r="L21" s="639"/>
    </row>
    <row r="22" spans="1:12" ht="15" customHeight="1">
      <c r="A22" s="641"/>
      <c r="B22" s="642"/>
      <c r="C22" s="642"/>
      <c r="D22" s="639"/>
      <c r="E22" s="639"/>
      <c r="F22" s="639"/>
      <c r="G22" s="639"/>
      <c r="H22" s="639"/>
      <c r="I22" s="639"/>
      <c r="J22" s="639"/>
      <c r="K22" s="639"/>
      <c r="L22" s="639"/>
    </row>
    <row r="23" spans="1:12" ht="9.75" customHeight="1">
      <c r="A23" s="641"/>
      <c r="B23" s="642"/>
      <c r="C23" s="642"/>
      <c r="D23" s="639"/>
      <c r="E23" s="639"/>
      <c r="F23" s="639"/>
      <c r="G23" s="639"/>
      <c r="H23" s="639"/>
      <c r="I23" s="639"/>
      <c r="J23" s="639"/>
      <c r="K23" s="639"/>
      <c r="L23" s="639"/>
    </row>
    <row r="24" spans="1:12" ht="15" customHeight="1" hidden="1">
      <c r="A24" s="641"/>
      <c r="B24" s="642"/>
      <c r="C24" s="642"/>
      <c r="D24" s="639"/>
      <c r="E24" s="639"/>
      <c r="F24" s="639"/>
      <c r="G24" s="639"/>
      <c r="H24" s="639"/>
      <c r="I24" s="639"/>
      <c r="J24" s="639"/>
      <c r="K24" s="639"/>
      <c r="L24" s="639"/>
    </row>
    <row r="25" spans="1:12" ht="15" customHeight="1" hidden="1">
      <c r="A25" s="641"/>
      <c r="B25" s="642"/>
      <c r="C25" s="642"/>
      <c r="D25" s="639"/>
      <c r="E25" s="639"/>
      <c r="F25" s="639"/>
      <c r="G25" s="639"/>
      <c r="H25" s="639"/>
      <c r="I25" s="639"/>
      <c r="J25" s="639"/>
      <c r="K25" s="639"/>
      <c r="L25" s="639"/>
    </row>
    <row r="26" spans="1:12" ht="15" customHeight="1" hidden="1">
      <c r="A26" s="641"/>
      <c r="B26" s="642"/>
      <c r="C26" s="642"/>
      <c r="D26" s="639"/>
      <c r="E26" s="639"/>
      <c r="F26" s="639"/>
      <c r="G26" s="639"/>
      <c r="H26" s="639"/>
      <c r="I26" s="639"/>
      <c r="J26" s="639"/>
      <c r="K26" s="639"/>
      <c r="L26" s="639"/>
    </row>
    <row r="27" spans="1:12" ht="15" customHeight="1" hidden="1">
      <c r="A27" s="641"/>
      <c r="B27" s="642"/>
      <c r="C27" s="642"/>
      <c r="D27" s="639"/>
      <c r="E27" s="639"/>
      <c r="F27" s="639"/>
      <c r="G27" s="639"/>
      <c r="H27" s="639"/>
      <c r="I27" s="639"/>
      <c r="J27" s="639"/>
      <c r="K27" s="639"/>
      <c r="L27" s="639"/>
    </row>
    <row r="28" spans="1:12" ht="15" customHeight="1" hidden="1">
      <c r="A28" s="641"/>
      <c r="B28" s="642"/>
      <c r="C28" s="642"/>
      <c r="D28" s="639"/>
      <c r="E28" s="639"/>
      <c r="F28" s="639"/>
      <c r="G28" s="639"/>
      <c r="H28" s="639"/>
      <c r="I28" s="639"/>
      <c r="J28" s="639"/>
      <c r="K28" s="639"/>
      <c r="L28" s="639"/>
    </row>
    <row r="29" spans="1:12" ht="50.25" customHeight="1">
      <c r="A29" s="641" t="s">
        <v>401</v>
      </c>
      <c r="B29" s="642">
        <v>2001</v>
      </c>
      <c r="C29" s="641"/>
      <c r="D29" s="645">
        <f>J29</f>
        <v>20994703.159999996</v>
      </c>
      <c r="E29" s="645">
        <f>K29</f>
        <v>17839467.479999997</v>
      </c>
      <c r="F29" s="645">
        <f>L29</f>
        <v>17859467.48</v>
      </c>
      <c r="G29" s="645">
        <v>0</v>
      </c>
      <c r="H29" s="645">
        <v>0</v>
      </c>
      <c r="I29" s="645">
        <v>0</v>
      </c>
      <c r="J29" s="645">
        <f>'раздел 3 (табл.2,3,4)'!H176</f>
        <v>20994703.159999996</v>
      </c>
      <c r="K29" s="645">
        <f>'раздел 3 (табл.2,3,4)'!H416</f>
        <v>17839467.479999997</v>
      </c>
      <c r="L29" s="645">
        <f>'раздел 3 (табл.2,3,4)'!H627</f>
        <v>17859467.48</v>
      </c>
    </row>
    <row r="30" spans="1:12" ht="15" customHeight="1">
      <c r="A30" s="641"/>
      <c r="B30" s="642"/>
      <c r="C30" s="641"/>
      <c r="D30" s="645"/>
      <c r="E30" s="645"/>
      <c r="F30" s="645"/>
      <c r="G30" s="645"/>
      <c r="H30" s="645"/>
      <c r="I30" s="645"/>
      <c r="J30" s="645"/>
      <c r="K30" s="645"/>
      <c r="L30" s="645"/>
    </row>
    <row r="31" spans="1:12" ht="1.5" customHeight="1">
      <c r="A31" s="641"/>
      <c r="B31" s="642"/>
      <c r="C31" s="641"/>
      <c r="D31" s="645"/>
      <c r="E31" s="645"/>
      <c r="F31" s="645"/>
      <c r="G31" s="645"/>
      <c r="H31" s="645"/>
      <c r="I31" s="645"/>
      <c r="J31" s="645"/>
      <c r="K31" s="645"/>
      <c r="L31" s="645"/>
    </row>
    <row r="32" spans="1:12" ht="15" customHeight="1">
      <c r="A32" s="641"/>
      <c r="B32" s="642"/>
      <c r="C32" s="641"/>
      <c r="D32" s="645"/>
      <c r="E32" s="645"/>
      <c r="F32" s="645"/>
      <c r="G32" s="645"/>
      <c r="H32" s="645"/>
      <c r="I32" s="645"/>
      <c r="J32" s="645"/>
      <c r="K32" s="645"/>
      <c r="L32" s="645"/>
    </row>
    <row r="33" spans="1:12" ht="15" customHeight="1">
      <c r="A33" s="641"/>
      <c r="B33" s="642"/>
      <c r="C33" s="641"/>
      <c r="D33" s="645"/>
      <c r="E33" s="645"/>
      <c r="F33" s="645"/>
      <c r="G33" s="645"/>
      <c r="H33" s="645"/>
      <c r="I33" s="645"/>
      <c r="J33" s="645"/>
      <c r="K33" s="645"/>
      <c r="L33" s="645"/>
    </row>
    <row r="34" spans="1:12" ht="15" customHeight="1">
      <c r="A34" s="641"/>
      <c r="B34" s="642"/>
      <c r="C34" s="641"/>
      <c r="D34" s="645"/>
      <c r="E34" s="645"/>
      <c r="F34" s="645"/>
      <c r="G34" s="645"/>
      <c r="H34" s="645"/>
      <c r="I34" s="645"/>
      <c r="J34" s="645"/>
      <c r="K34" s="645"/>
      <c r="L34" s="645"/>
    </row>
    <row r="36" ht="18.75">
      <c r="A36" s="34" t="s">
        <v>78</v>
      </c>
    </row>
    <row r="37" spans="1:12" ht="82.5" customHeight="1">
      <c r="A37" s="638" t="s">
        <v>289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</row>
    <row r="38" spans="1:12" ht="103.5" customHeight="1">
      <c r="A38" s="638" t="s">
        <v>290</v>
      </c>
      <c r="B38" s="638"/>
      <c r="C38" s="638"/>
      <c r="D38" s="638"/>
      <c r="E38" s="638"/>
      <c r="F38" s="638"/>
      <c r="G38" s="638"/>
      <c r="H38" s="638"/>
      <c r="I38" s="638"/>
      <c r="J38" s="638"/>
      <c r="K38" s="638"/>
      <c r="L38" s="638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638" t="s">
        <v>295</v>
      </c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</row>
    <row r="48" spans="1:12" s="62" customFormat="1" ht="31.5" customHeight="1">
      <c r="A48" s="638" t="s">
        <v>402</v>
      </c>
      <c r="B48" s="638"/>
      <c r="C48" s="638"/>
      <c r="D48" s="638"/>
      <c r="E48" s="638"/>
      <c r="F48" s="638"/>
      <c r="G48" s="638"/>
      <c r="H48" s="638"/>
      <c r="I48" s="638"/>
      <c r="J48" s="638"/>
      <c r="K48" s="638"/>
      <c r="L48" s="638"/>
    </row>
  </sheetData>
  <sheetProtection/>
  <mergeCells count="58"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768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631" t="s">
        <v>1</v>
      </c>
      <c r="B8" s="26" t="s">
        <v>86</v>
      </c>
      <c r="C8" s="631" t="s">
        <v>88</v>
      </c>
    </row>
    <row r="9" spans="1:3" ht="15.75">
      <c r="A9" s="631"/>
      <c r="B9" s="26" t="s">
        <v>87</v>
      </c>
      <c r="C9" s="631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72">
        <v>167919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646" t="s">
        <v>407</v>
      </c>
      <c r="B18" s="646"/>
      <c r="C18" s="646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646"/>
      <c r="B19" s="646"/>
      <c r="C19" s="646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646"/>
      <c r="B20" s="646"/>
      <c r="C20" s="646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646"/>
      <c r="B21" s="646"/>
      <c r="C21" s="646"/>
      <c r="D21" s="70"/>
    </row>
    <row r="22" spans="1:4" ht="15" customHeight="1">
      <c r="A22" s="646"/>
      <c r="B22" s="646"/>
      <c r="C22" s="646"/>
      <c r="D22" s="70"/>
    </row>
    <row r="23" spans="1:4" ht="15" customHeight="1">
      <c r="A23" s="646"/>
      <c r="B23" s="646"/>
      <c r="C23" s="646"/>
      <c r="D23" s="70"/>
    </row>
    <row r="24" spans="1:4" ht="30.75" customHeight="1">
      <c r="A24" s="646"/>
      <c r="B24" s="646"/>
      <c r="C24" s="646"/>
      <c r="D24" s="70"/>
    </row>
    <row r="25" spans="1:3" ht="15">
      <c r="A25" s="646"/>
      <c r="B25" s="646"/>
      <c r="C25" s="646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647" t="s">
        <v>404</v>
      </c>
      <c r="C13" s="648">
        <v>0</v>
      </c>
    </row>
    <row r="14" spans="1:3" ht="56.25" customHeight="1">
      <c r="A14" s="25" t="s">
        <v>98</v>
      </c>
      <c r="B14" s="647"/>
      <c r="C14" s="648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ht="15.75">
      <c r="A27" s="28" t="s">
        <v>100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2" ht="15.75">
      <c r="A31" s="43"/>
      <c r="B31" s="44"/>
    </row>
    <row r="32" ht="15.75">
      <c r="A32" s="28" t="s">
        <v>104</v>
      </c>
    </row>
    <row r="33" ht="15.75">
      <c r="A33" s="28"/>
    </row>
    <row r="34" ht="15.75">
      <c r="A34" s="43" t="s">
        <v>763</v>
      </c>
    </row>
    <row r="35" ht="15.75">
      <c r="A35" s="28"/>
    </row>
    <row r="36" ht="15.75">
      <c r="A36" s="183">
        <v>43686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485"/>
  <sheetViews>
    <sheetView view="pageBreakPreview" zoomScaleSheetLayoutView="100" zoomScalePageLayoutView="0" workbookViewId="0" topLeftCell="F1">
      <selection activeCell="G105" sqref="G105"/>
    </sheetView>
  </sheetViews>
  <sheetFormatPr defaultColWidth="9.140625" defaultRowHeight="15"/>
  <cols>
    <col min="1" max="1" width="9.140625" style="186" customWidth="1"/>
    <col min="2" max="2" width="24.140625" style="187" customWidth="1"/>
    <col min="3" max="3" width="20.57421875" style="186" customWidth="1"/>
    <col min="4" max="4" width="21.28125" style="186" customWidth="1"/>
    <col min="5" max="5" width="20.7109375" style="186" customWidth="1"/>
    <col min="6" max="6" width="20.8515625" style="186" customWidth="1"/>
    <col min="7" max="7" width="21.28125" style="186" customWidth="1"/>
    <col min="8" max="8" width="18.421875" style="186" customWidth="1"/>
    <col min="9" max="9" width="19.57421875" style="186" customWidth="1"/>
    <col min="10" max="10" width="23.00390625" style="186" customWidth="1"/>
    <col min="11" max="11" width="24.421875" style="186" customWidth="1"/>
    <col min="12" max="12" width="16.140625" style="186" customWidth="1"/>
    <col min="13" max="16384" width="9.140625" style="186" customWidth="1"/>
  </cols>
  <sheetData>
    <row r="1" spans="5:6" ht="15.75" customHeight="1">
      <c r="E1" s="655"/>
      <c r="F1" s="655"/>
    </row>
    <row r="2" spans="1:26" s="190" customFormat="1" ht="40.5" customHeight="1">
      <c r="A2" s="656" t="s">
        <v>539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s="190" customFormat="1" ht="15.75" customHeight="1">
      <c r="B3" s="657" t="s">
        <v>852</v>
      </c>
      <c r="C3" s="657"/>
      <c r="D3" s="657"/>
      <c r="E3" s="657"/>
      <c r="F3" s="657"/>
      <c r="G3" s="657"/>
      <c r="H3" s="657"/>
      <c r="I3" s="657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162" ht="20.25" customHeight="1">
      <c r="A4" s="658" t="s">
        <v>540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2:31" ht="15.75" customHeight="1">
      <c r="B5" s="18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customHeight="1">
      <c r="B6" s="193" t="s">
        <v>541</v>
      </c>
      <c r="C6" s="193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31" ht="15.75" customHeight="1">
      <c r="B7" s="18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2:31" ht="15.75" customHeight="1">
      <c r="B8" s="193" t="s">
        <v>542</v>
      </c>
      <c r="C8" s="193"/>
      <c r="D8" s="193" t="s">
        <v>543</v>
      </c>
      <c r="E8" s="193"/>
      <c r="F8" s="193"/>
      <c r="G8" s="193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2:31" ht="15.75" customHeight="1">
      <c r="B9" s="18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5.75" customHeight="1">
      <c r="B10" s="194" t="s">
        <v>544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2:31" ht="15.75" customHeight="1">
      <c r="B11" s="186"/>
      <c r="J11" s="469">
        <v>18286841.5</v>
      </c>
      <c r="K11" s="466">
        <f>J20-J11</f>
        <v>-136360.19000000134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83" ht="48" customHeight="1">
      <c r="A12" s="659" t="s">
        <v>545</v>
      </c>
      <c r="B12" s="660" t="s">
        <v>546</v>
      </c>
      <c r="C12" s="660" t="s">
        <v>547</v>
      </c>
      <c r="D12" s="663" t="s">
        <v>548</v>
      </c>
      <c r="E12" s="664"/>
      <c r="F12" s="664"/>
      <c r="G12" s="665"/>
      <c r="H12" s="666" t="s">
        <v>549</v>
      </c>
      <c r="I12" s="666" t="s">
        <v>550</v>
      </c>
      <c r="J12" s="666" t="s">
        <v>551</v>
      </c>
      <c r="K12" s="669" t="s">
        <v>552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2"/>
      <c r="BY12" s="192"/>
      <c r="BZ12" s="192"/>
      <c r="CA12" s="192"/>
      <c r="CB12" s="192"/>
      <c r="CC12" s="192"/>
      <c r="CD12" s="192"/>
      <c r="CE12" s="192"/>
    </row>
    <row r="13" spans="1:73" ht="15.75" customHeight="1">
      <c r="A13" s="659"/>
      <c r="B13" s="661"/>
      <c r="C13" s="661"/>
      <c r="D13" s="196" t="s">
        <v>36</v>
      </c>
      <c r="E13" s="670" t="s">
        <v>4</v>
      </c>
      <c r="F13" s="671"/>
      <c r="G13" s="671"/>
      <c r="H13" s="667"/>
      <c r="I13" s="667"/>
      <c r="J13" s="667"/>
      <c r="K13" s="669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31" ht="46.5" customHeight="1">
      <c r="A14" s="659"/>
      <c r="B14" s="662"/>
      <c r="C14" s="662"/>
      <c r="D14" s="198"/>
      <c r="E14" s="199" t="s">
        <v>553</v>
      </c>
      <c r="F14" s="199" t="s">
        <v>554</v>
      </c>
      <c r="G14" s="197" t="s">
        <v>555</v>
      </c>
      <c r="H14" s="668"/>
      <c r="I14" s="668"/>
      <c r="J14" s="668"/>
      <c r="K14" s="669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2"/>
      <c r="AB14" s="192"/>
      <c r="AC14" s="192"/>
      <c r="AD14" s="192"/>
      <c r="AE14" s="192"/>
    </row>
    <row r="15" spans="1:31" ht="15.75" customHeight="1">
      <c r="A15" s="200">
        <v>1</v>
      </c>
      <c r="B15" s="201">
        <v>2</v>
      </c>
      <c r="C15" s="201">
        <v>3</v>
      </c>
      <c r="D15" s="202">
        <v>4</v>
      </c>
      <c r="E15" s="203">
        <v>5</v>
      </c>
      <c r="F15" s="204">
        <v>6</v>
      </c>
      <c r="G15" s="201">
        <v>7</v>
      </c>
      <c r="H15" s="201">
        <v>8</v>
      </c>
      <c r="I15" s="201">
        <v>9</v>
      </c>
      <c r="J15" s="204">
        <v>10</v>
      </c>
      <c r="K15" s="204">
        <v>11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2"/>
      <c r="AB15" s="192"/>
      <c r="AC15" s="192"/>
      <c r="AD15" s="192"/>
      <c r="AE15" s="192"/>
    </row>
    <row r="16" spans="1:31" ht="15.75" customHeight="1">
      <c r="A16" s="206"/>
      <c r="B16" s="207" t="s">
        <v>556</v>
      </c>
      <c r="C16" s="208">
        <v>4</v>
      </c>
      <c r="D16" s="208">
        <f>SUM(E16:G16)</f>
        <v>33046.7</v>
      </c>
      <c r="E16" s="209">
        <v>16110</v>
      </c>
      <c r="F16" s="209">
        <v>0</v>
      </c>
      <c r="G16" s="208">
        <f>18830.35-1893.65</f>
        <v>16936.699999999997</v>
      </c>
      <c r="H16" s="208">
        <v>0</v>
      </c>
      <c r="I16" s="208">
        <v>1.15</v>
      </c>
      <c r="J16" s="210">
        <f>(C16*D16*(1+H16/100)*I16*12)</f>
        <v>1824177.8399999999</v>
      </c>
      <c r="K16" s="211" t="s">
        <v>557</v>
      </c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192"/>
      <c r="AB16" s="192"/>
      <c r="AC16" s="192"/>
      <c r="AD16" s="192"/>
      <c r="AE16" s="192"/>
    </row>
    <row r="17" spans="1:31" ht="15.75" customHeight="1">
      <c r="A17" s="206"/>
      <c r="B17" s="207" t="s">
        <v>558</v>
      </c>
      <c r="C17" s="208">
        <v>3</v>
      </c>
      <c r="D17" s="208">
        <f>SUM(E17:G17)</f>
        <v>24380.72</v>
      </c>
      <c r="E17" s="209">
        <v>7000</v>
      </c>
      <c r="F17" s="209">
        <v>0</v>
      </c>
      <c r="G17" s="208">
        <f>21385-4000-0.03-0.87-3.38</f>
        <v>17380.72</v>
      </c>
      <c r="H17" s="208">
        <v>0</v>
      </c>
      <c r="I17" s="208">
        <v>1.15</v>
      </c>
      <c r="J17" s="210">
        <f>(C17*D17*(1+H17/100)*I17*12)</f>
        <v>1009361.808</v>
      </c>
      <c r="K17" s="211" t="s">
        <v>557</v>
      </c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92"/>
      <c r="AB17" s="192"/>
      <c r="AC17" s="192"/>
      <c r="AD17" s="192"/>
      <c r="AE17" s="192"/>
    </row>
    <row r="18" spans="1:31" ht="15.75" customHeight="1">
      <c r="A18" s="206"/>
      <c r="B18" s="207" t="s">
        <v>559</v>
      </c>
      <c r="C18" s="208">
        <v>44</v>
      </c>
      <c r="D18" s="208">
        <f>SUM(E18:G18)</f>
        <v>23415.16</v>
      </c>
      <c r="E18" s="209">
        <v>7000</v>
      </c>
      <c r="F18" s="209">
        <v>0</v>
      </c>
      <c r="G18" s="208">
        <f>13118-60+3165.54+373.34-203+21.28</f>
        <v>16415.16</v>
      </c>
      <c r="H18" s="208">
        <v>0</v>
      </c>
      <c r="I18" s="208">
        <v>1.15</v>
      </c>
      <c r="J18" s="210">
        <f>(C18*D18*(1+H18/100)*I18*12)-0.15</f>
        <v>14217685.001999998</v>
      </c>
      <c r="K18" s="211" t="s">
        <v>557</v>
      </c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192"/>
      <c r="AB18" s="192"/>
      <c r="AC18" s="192"/>
      <c r="AD18" s="192"/>
      <c r="AE18" s="192"/>
    </row>
    <row r="19" spans="1:31" ht="15.75" customHeight="1">
      <c r="A19" s="206"/>
      <c r="B19" s="207" t="s">
        <v>560</v>
      </c>
      <c r="C19" s="208">
        <v>4</v>
      </c>
      <c r="D19" s="208">
        <f>SUM(E19:G19)</f>
        <v>19914.07</v>
      </c>
      <c r="E19" s="209">
        <v>5880</v>
      </c>
      <c r="F19" s="209">
        <v>0</v>
      </c>
      <c r="G19" s="208">
        <f>16002.25-1500+0.03-500+31.79</f>
        <v>14034.070000000002</v>
      </c>
      <c r="H19" s="208">
        <v>0</v>
      </c>
      <c r="I19" s="208">
        <v>1.15</v>
      </c>
      <c r="J19" s="210">
        <f>(C19*D19*(1+H19/100)*I19*12)</f>
        <v>1099256.6639999999</v>
      </c>
      <c r="K19" s="211" t="s">
        <v>557</v>
      </c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192"/>
      <c r="AB19" s="192"/>
      <c r="AC19" s="192"/>
      <c r="AD19" s="192"/>
      <c r="AE19" s="192"/>
    </row>
    <row r="20" spans="1:31" s="194" customFormat="1" ht="15.75" customHeight="1">
      <c r="A20" s="219"/>
      <c r="B20" s="381"/>
      <c r="C20" s="382">
        <f>SUM(C16:C19)</f>
        <v>55</v>
      </c>
      <c r="D20" s="382"/>
      <c r="E20" s="383"/>
      <c r="F20" s="383"/>
      <c r="G20" s="382"/>
      <c r="H20" s="382"/>
      <c r="I20" s="382"/>
      <c r="J20" s="214">
        <f>ROUND(SUM(J16:J19),2)</f>
        <v>18150481.31</v>
      </c>
      <c r="K20" s="384"/>
      <c r="L20" s="564">
        <v>28266512</v>
      </c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223"/>
      <c r="AB20" s="223"/>
      <c r="AC20" s="223"/>
      <c r="AD20" s="223"/>
      <c r="AE20" s="223"/>
    </row>
    <row r="21" spans="1:31" s="194" customFormat="1" ht="15.75" customHeight="1">
      <c r="A21" s="219"/>
      <c r="B21" s="207" t="s">
        <v>556</v>
      </c>
      <c r="C21" s="208">
        <v>3</v>
      </c>
      <c r="D21" s="208">
        <f>SUM(E21:H21)</f>
        <v>34879.55</v>
      </c>
      <c r="E21" s="208">
        <v>9882.12</v>
      </c>
      <c r="F21" s="208">
        <v>7471</v>
      </c>
      <c r="G21" s="208">
        <f>17528.07-1.64</f>
        <v>17526.43</v>
      </c>
      <c r="H21" s="215">
        <v>0</v>
      </c>
      <c r="I21" s="215">
        <v>1.15</v>
      </c>
      <c r="J21" s="210">
        <f>(C21*D21*(1+H21/100)*I21*12)</f>
        <v>1444013.3699999999</v>
      </c>
      <c r="K21" s="38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223"/>
      <c r="AB21" s="223"/>
      <c r="AC21" s="223"/>
      <c r="AD21" s="223"/>
      <c r="AE21" s="223"/>
    </row>
    <row r="22" spans="1:31" s="194" customFormat="1" ht="15.75" customHeight="1">
      <c r="A22" s="219"/>
      <c r="B22" s="207" t="s">
        <v>558</v>
      </c>
      <c r="C22" s="208">
        <v>13</v>
      </c>
      <c r="D22" s="208">
        <f>SUM(E22:H22)</f>
        <v>22395.54</v>
      </c>
      <c r="E22" s="208">
        <v>9216.89</v>
      </c>
      <c r="F22" s="208">
        <v>1083.63</v>
      </c>
      <c r="G22" s="208">
        <f>12875.02-780</f>
        <v>12095.02</v>
      </c>
      <c r="H22" s="215">
        <v>0</v>
      </c>
      <c r="I22" s="215">
        <v>1.15</v>
      </c>
      <c r="J22" s="210">
        <f>(C22*D22*(1+H22/100)*I22*12)-0.11</f>
        <v>4017759.766</v>
      </c>
      <c r="K22" s="38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223"/>
      <c r="AB22" s="223"/>
      <c r="AC22" s="223"/>
      <c r="AD22" s="223"/>
      <c r="AE22" s="223"/>
    </row>
    <row r="23" spans="1:31" s="194" customFormat="1" ht="15.75" customHeight="1">
      <c r="A23" s="219"/>
      <c r="B23" s="207" t="s">
        <v>559</v>
      </c>
      <c r="C23" s="208">
        <v>6</v>
      </c>
      <c r="D23" s="208">
        <f>SUM(E23:H23)</f>
        <v>23808.4</v>
      </c>
      <c r="E23" s="208">
        <v>7027.4</v>
      </c>
      <c r="F23" s="208">
        <v>1151.08</v>
      </c>
      <c r="G23" s="208">
        <v>15629.92</v>
      </c>
      <c r="H23" s="215">
        <v>0</v>
      </c>
      <c r="I23" s="215">
        <v>1.15</v>
      </c>
      <c r="J23" s="210">
        <f>(C23*D23*(1+H23/100)*I23*12)</f>
        <v>1971335.5200000003</v>
      </c>
      <c r="K23" s="38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223"/>
      <c r="AB23" s="223"/>
      <c r="AC23" s="223"/>
      <c r="AD23" s="223"/>
      <c r="AE23" s="223"/>
    </row>
    <row r="24" spans="1:31" s="194" customFormat="1" ht="15.75" customHeight="1">
      <c r="A24" s="219"/>
      <c r="B24" s="207" t="s">
        <v>560</v>
      </c>
      <c r="C24" s="208">
        <v>14</v>
      </c>
      <c r="D24" s="208">
        <f>SUM(E24:H24)</f>
        <v>13886.76</v>
      </c>
      <c r="E24" s="208">
        <v>4835.77</v>
      </c>
      <c r="F24" s="208">
        <v>2673.62</v>
      </c>
      <c r="G24" s="208">
        <v>6377.37</v>
      </c>
      <c r="H24" s="215">
        <v>0</v>
      </c>
      <c r="I24" s="215">
        <v>1.15</v>
      </c>
      <c r="J24" s="210">
        <f>(C24*D24*(1+H24/100)*I24*12)</f>
        <v>2682922.032</v>
      </c>
      <c r="K24" s="38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223"/>
      <c r="AB24" s="223"/>
      <c r="AC24" s="223"/>
      <c r="AD24" s="223"/>
      <c r="AE24" s="223"/>
    </row>
    <row r="25" spans="1:31" s="194" customFormat="1" ht="15.75" customHeight="1">
      <c r="A25" s="219"/>
      <c r="B25" s="213" t="s">
        <v>561</v>
      </c>
      <c r="C25" s="202" t="s">
        <v>562</v>
      </c>
      <c r="D25" s="202"/>
      <c r="E25" s="203" t="s">
        <v>562</v>
      </c>
      <c r="F25" s="203" t="s">
        <v>562</v>
      </c>
      <c r="G25" s="215" t="s">
        <v>562</v>
      </c>
      <c r="H25" s="215" t="s">
        <v>562</v>
      </c>
      <c r="I25" s="215" t="s">
        <v>562</v>
      </c>
      <c r="J25" s="214">
        <f>SUM(J21:J24)</f>
        <v>10116030.688000001</v>
      </c>
      <c r="K25" s="384"/>
      <c r="L25" s="564">
        <f>J25+J20</f>
        <v>28266511.998</v>
      </c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223"/>
      <c r="AB25" s="223"/>
      <c r="AC25" s="223"/>
      <c r="AD25" s="223"/>
      <c r="AE25" s="223"/>
    </row>
    <row r="26" spans="1:31" ht="15.75" customHeight="1">
      <c r="A26" s="206"/>
      <c r="B26" s="207" t="s">
        <v>747</v>
      </c>
      <c r="C26" s="208"/>
      <c r="D26" s="208"/>
      <c r="E26" s="209"/>
      <c r="F26" s="209"/>
      <c r="G26" s="208"/>
      <c r="H26" s="208"/>
      <c r="I26" s="208"/>
      <c r="J26" s="210">
        <v>47432.87</v>
      </c>
      <c r="K26" s="211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192"/>
      <c r="AB26" s="192"/>
      <c r="AC26" s="192"/>
      <c r="AD26" s="192"/>
      <c r="AE26" s="192"/>
    </row>
    <row r="27" spans="1:31" ht="15.75" customHeight="1">
      <c r="A27" s="206"/>
      <c r="B27" s="207" t="s">
        <v>759</v>
      </c>
      <c r="C27" s="208"/>
      <c r="D27" s="208"/>
      <c r="E27" s="209"/>
      <c r="F27" s="209"/>
      <c r="G27" s="208"/>
      <c r="H27" s="208"/>
      <c r="I27" s="208"/>
      <c r="J27" s="210">
        <v>80000</v>
      </c>
      <c r="K27" s="21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192"/>
      <c r="AB27" s="192"/>
      <c r="AC27" s="192"/>
      <c r="AD27" s="192"/>
      <c r="AE27" s="192"/>
    </row>
    <row r="28" spans="1:31" s="194" customFormat="1" ht="15.75" customHeight="1">
      <c r="A28" s="219"/>
      <c r="B28" s="385" t="s">
        <v>561</v>
      </c>
      <c r="C28" s="382" t="s">
        <v>562</v>
      </c>
      <c r="D28" s="382"/>
      <c r="E28" s="383" t="s">
        <v>562</v>
      </c>
      <c r="F28" s="383" t="s">
        <v>562</v>
      </c>
      <c r="G28" s="382" t="s">
        <v>562</v>
      </c>
      <c r="H28" s="382" t="s">
        <v>562</v>
      </c>
      <c r="I28" s="382" t="s">
        <v>562</v>
      </c>
      <c r="J28" s="214">
        <f>J20+J25+J26+J27</f>
        <v>28393944.868</v>
      </c>
      <c r="K28" s="386" t="s">
        <v>562</v>
      </c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223"/>
      <c r="AB28" s="223"/>
      <c r="AC28" s="223"/>
      <c r="AD28" s="223"/>
      <c r="AE28" s="223"/>
    </row>
    <row r="29" spans="1:31" ht="15.75" customHeight="1">
      <c r="A29" s="206"/>
      <c r="B29" s="207" t="s">
        <v>556</v>
      </c>
      <c r="C29" s="202"/>
      <c r="D29" s="202"/>
      <c r="E29" s="203"/>
      <c r="F29" s="203"/>
      <c r="G29" s="215"/>
      <c r="H29" s="215"/>
      <c r="I29" s="215"/>
      <c r="J29" s="203">
        <f>(C29*D29*(1+H29/100)*I29*12)</f>
        <v>0</v>
      </c>
      <c r="K29" s="211" t="s">
        <v>563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192"/>
      <c r="AB29" s="192"/>
      <c r="AC29" s="192"/>
      <c r="AD29" s="192"/>
      <c r="AE29" s="192"/>
    </row>
    <row r="30" spans="1:31" ht="15.75" customHeight="1">
      <c r="A30" s="206"/>
      <c r="B30" s="207" t="s">
        <v>558</v>
      </c>
      <c r="C30" s="202"/>
      <c r="D30" s="202"/>
      <c r="E30" s="203"/>
      <c r="F30" s="203"/>
      <c r="G30" s="215"/>
      <c r="H30" s="215"/>
      <c r="I30" s="215"/>
      <c r="J30" s="203">
        <f>(C30*D30*(1+H30/100)*I30*12)</f>
        <v>0</v>
      </c>
      <c r="K30" s="211" t="s">
        <v>563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192"/>
      <c r="AB30" s="192"/>
      <c r="AC30" s="192"/>
      <c r="AD30" s="192"/>
      <c r="AE30" s="192"/>
    </row>
    <row r="31" spans="1:31" ht="15.75" customHeight="1">
      <c r="A31" s="206"/>
      <c r="B31" s="207" t="s">
        <v>559</v>
      </c>
      <c r="C31" s="202"/>
      <c r="D31" s="202"/>
      <c r="E31" s="203"/>
      <c r="F31" s="203"/>
      <c r="G31" s="215"/>
      <c r="H31" s="215"/>
      <c r="I31" s="215"/>
      <c r="J31" s="203">
        <f>(C31*D31*(1+H31/100)*I31*12)</f>
        <v>0</v>
      </c>
      <c r="K31" s="211" t="s">
        <v>563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192"/>
      <c r="AB31" s="192"/>
      <c r="AC31" s="192"/>
      <c r="AD31" s="192"/>
      <c r="AE31" s="192"/>
    </row>
    <row r="32" spans="1:31" ht="15.75" customHeight="1">
      <c r="A32" s="206"/>
      <c r="B32" s="207" t="s">
        <v>560</v>
      </c>
      <c r="C32" s="202"/>
      <c r="D32" s="202"/>
      <c r="E32" s="203"/>
      <c r="F32" s="203"/>
      <c r="G32" s="215"/>
      <c r="H32" s="215"/>
      <c r="I32" s="215"/>
      <c r="J32" s="203">
        <f>(C32*D32*(1+H32/100)*I32*12)</f>
        <v>0</v>
      </c>
      <c r="K32" s="211" t="s">
        <v>563</v>
      </c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192"/>
      <c r="AB32" s="192"/>
      <c r="AC32" s="192"/>
      <c r="AD32" s="192"/>
      <c r="AE32" s="192"/>
    </row>
    <row r="33" spans="1:31" ht="15.75" customHeight="1">
      <c r="A33" s="206"/>
      <c r="B33" s="213" t="s">
        <v>561</v>
      </c>
      <c r="C33" s="202" t="s">
        <v>562</v>
      </c>
      <c r="D33" s="202"/>
      <c r="E33" s="203" t="s">
        <v>562</v>
      </c>
      <c r="F33" s="203" t="s">
        <v>562</v>
      </c>
      <c r="G33" s="215" t="s">
        <v>562</v>
      </c>
      <c r="H33" s="215" t="s">
        <v>562</v>
      </c>
      <c r="I33" s="215" t="s">
        <v>562</v>
      </c>
      <c r="J33" s="203">
        <f>SUM(J29:J32)</f>
        <v>0</v>
      </c>
      <c r="K33" s="203" t="s">
        <v>562</v>
      </c>
      <c r="L33" s="409">
        <f>J20+G105</f>
        <v>26729250.74</v>
      </c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</row>
    <row r="34" spans="1:12" ht="15.75" customHeight="1">
      <c r="A34" s="672" t="s">
        <v>561</v>
      </c>
      <c r="B34" s="673"/>
      <c r="C34" s="216" t="s">
        <v>562</v>
      </c>
      <c r="D34" s="217"/>
      <c r="E34" s="217"/>
      <c r="F34" s="217"/>
      <c r="G34" s="217"/>
      <c r="H34" s="217"/>
      <c r="I34" s="217"/>
      <c r="J34" s="218" t="s">
        <v>562</v>
      </c>
      <c r="K34" s="219"/>
      <c r="L34" s="387">
        <f>J28+G105</f>
        <v>36972714.298</v>
      </c>
    </row>
    <row r="35" spans="1:11" ht="15.75" customHeight="1">
      <c r="A35" s="192"/>
      <c r="B35" s="220"/>
      <c r="C35" s="221"/>
      <c r="D35" s="220"/>
      <c r="E35" s="220"/>
      <c r="F35" s="220"/>
      <c r="G35" s="220"/>
      <c r="H35" s="220"/>
      <c r="I35" s="220"/>
      <c r="J35" s="541">
        <f>J20-K35</f>
        <v>-12922.660000000149</v>
      </c>
      <c r="K35" s="542">
        <v>18163403.97</v>
      </c>
    </row>
    <row r="36" spans="2:31" ht="15.75" customHeight="1" hidden="1">
      <c r="B36" s="194" t="s">
        <v>853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</row>
    <row r="37" spans="2:31" ht="15.75" customHeight="1" hidden="1">
      <c r="B37" s="186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</row>
    <row r="38" spans="1:83" ht="15.75" customHeight="1" hidden="1">
      <c r="A38" s="659" t="s">
        <v>545</v>
      </c>
      <c r="B38" s="660" t="s">
        <v>546</v>
      </c>
      <c r="C38" s="660" t="s">
        <v>547</v>
      </c>
      <c r="D38" s="663" t="s">
        <v>548</v>
      </c>
      <c r="E38" s="664"/>
      <c r="F38" s="664"/>
      <c r="G38" s="665"/>
      <c r="H38" s="666" t="s">
        <v>549</v>
      </c>
      <c r="I38" s="666" t="s">
        <v>550</v>
      </c>
      <c r="J38" s="666" t="s">
        <v>551</v>
      </c>
      <c r="K38" s="669" t="s">
        <v>552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2"/>
      <c r="BY38" s="192"/>
      <c r="BZ38" s="192"/>
      <c r="CA38" s="192"/>
      <c r="CB38" s="192"/>
      <c r="CC38" s="192"/>
      <c r="CD38" s="192"/>
      <c r="CE38" s="192"/>
    </row>
    <row r="39" spans="1:73" ht="15.75" customHeight="1" hidden="1">
      <c r="A39" s="659"/>
      <c r="B39" s="661"/>
      <c r="C39" s="661"/>
      <c r="D39" s="196" t="s">
        <v>36</v>
      </c>
      <c r="E39" s="670" t="s">
        <v>4</v>
      </c>
      <c r="F39" s="671"/>
      <c r="G39" s="671"/>
      <c r="H39" s="667"/>
      <c r="I39" s="667"/>
      <c r="J39" s="667"/>
      <c r="K39" s="669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</row>
    <row r="40" spans="1:31" ht="42" customHeight="1" hidden="1">
      <c r="A40" s="659"/>
      <c r="B40" s="662"/>
      <c r="C40" s="662"/>
      <c r="D40" s="198"/>
      <c r="E40" s="199" t="s">
        <v>553</v>
      </c>
      <c r="F40" s="199" t="s">
        <v>554</v>
      </c>
      <c r="G40" s="197" t="s">
        <v>555</v>
      </c>
      <c r="H40" s="668"/>
      <c r="I40" s="668"/>
      <c r="J40" s="668"/>
      <c r="K40" s="669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2"/>
      <c r="AB40" s="192"/>
      <c r="AC40" s="192"/>
      <c r="AD40" s="192"/>
      <c r="AE40" s="192"/>
    </row>
    <row r="41" spans="1:31" ht="15.75" customHeight="1" hidden="1">
      <c r="A41" s="200">
        <v>1</v>
      </c>
      <c r="B41" s="201">
        <v>2</v>
      </c>
      <c r="C41" s="201">
        <v>3</v>
      </c>
      <c r="D41" s="202">
        <v>4</v>
      </c>
      <c r="E41" s="203">
        <v>5</v>
      </c>
      <c r="F41" s="204">
        <v>6</v>
      </c>
      <c r="G41" s="201">
        <v>7</v>
      </c>
      <c r="H41" s="201">
        <v>8</v>
      </c>
      <c r="I41" s="201">
        <v>9</v>
      </c>
      <c r="J41" s="204">
        <v>10</v>
      </c>
      <c r="K41" s="204">
        <v>11</v>
      </c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192"/>
      <c r="AB41" s="192"/>
      <c r="AC41" s="192"/>
      <c r="AD41" s="192"/>
      <c r="AE41" s="192"/>
    </row>
    <row r="42" spans="1:31" ht="15.75" customHeight="1" hidden="1">
      <c r="A42" s="206"/>
      <c r="B42" s="207" t="s">
        <v>556</v>
      </c>
      <c r="C42" s="208">
        <v>3</v>
      </c>
      <c r="D42" s="208">
        <f>SUM(E42:H42)</f>
        <v>34879.55</v>
      </c>
      <c r="E42" s="208">
        <v>9882.12</v>
      </c>
      <c r="F42" s="208">
        <v>7471</v>
      </c>
      <c r="G42" s="208">
        <f>17528.07-1.64</f>
        <v>17526.43</v>
      </c>
      <c r="H42" s="215">
        <v>0</v>
      </c>
      <c r="I42" s="215">
        <v>1.15</v>
      </c>
      <c r="J42" s="210"/>
      <c r="K42" s="211" t="s">
        <v>557</v>
      </c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192"/>
      <c r="AB42" s="192"/>
      <c r="AC42" s="192"/>
      <c r="AD42" s="192"/>
      <c r="AE42" s="192"/>
    </row>
    <row r="43" spans="1:31" ht="15.75" customHeight="1" hidden="1">
      <c r="A43" s="206"/>
      <c r="B43" s="207" t="s">
        <v>558</v>
      </c>
      <c r="C43" s="208">
        <v>13</v>
      </c>
      <c r="D43" s="208">
        <f>SUM(E43:H43)</f>
        <v>22395.54</v>
      </c>
      <c r="E43" s="208">
        <v>9216.89</v>
      </c>
      <c r="F43" s="208">
        <v>1083.63</v>
      </c>
      <c r="G43" s="208">
        <f>12875.02-780</f>
        <v>12095.02</v>
      </c>
      <c r="H43" s="215">
        <v>0</v>
      </c>
      <c r="I43" s="215">
        <v>1.15</v>
      </c>
      <c r="J43" s="210"/>
      <c r="K43" s="211" t="s">
        <v>557</v>
      </c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92"/>
      <c r="AB43" s="192"/>
      <c r="AC43" s="192"/>
      <c r="AD43" s="192"/>
      <c r="AE43" s="192"/>
    </row>
    <row r="44" spans="1:31" ht="15.75" customHeight="1" hidden="1">
      <c r="A44" s="206"/>
      <c r="B44" s="207" t="s">
        <v>559</v>
      </c>
      <c r="C44" s="208">
        <v>6</v>
      </c>
      <c r="D44" s="208">
        <f>SUM(E44:H44)</f>
        <v>23808.4</v>
      </c>
      <c r="E44" s="208">
        <v>7027.4</v>
      </c>
      <c r="F44" s="208">
        <v>1151.08</v>
      </c>
      <c r="G44" s="208">
        <v>15629.92</v>
      </c>
      <c r="H44" s="215">
        <v>0</v>
      </c>
      <c r="I44" s="215">
        <v>1.15</v>
      </c>
      <c r="J44" s="210"/>
      <c r="K44" s="211" t="s">
        <v>557</v>
      </c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192"/>
      <c r="AB44" s="192"/>
      <c r="AC44" s="192"/>
      <c r="AD44" s="192"/>
      <c r="AE44" s="192"/>
    </row>
    <row r="45" spans="1:31" ht="15.75" customHeight="1" hidden="1">
      <c r="A45" s="206"/>
      <c r="B45" s="207" t="s">
        <v>560</v>
      </c>
      <c r="C45" s="208">
        <v>14</v>
      </c>
      <c r="D45" s="208">
        <f>SUM(E45:H45)</f>
        <v>13886.76</v>
      </c>
      <c r="E45" s="208">
        <v>4835.77</v>
      </c>
      <c r="F45" s="208">
        <v>2673.62</v>
      </c>
      <c r="G45" s="208">
        <v>6377.37</v>
      </c>
      <c r="H45" s="215">
        <v>0</v>
      </c>
      <c r="I45" s="215">
        <v>1.15</v>
      </c>
      <c r="J45" s="210"/>
      <c r="K45" s="211" t="s">
        <v>557</v>
      </c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92"/>
      <c r="AB45" s="192"/>
      <c r="AC45" s="192"/>
      <c r="AD45" s="192"/>
      <c r="AE45" s="192"/>
    </row>
    <row r="46" spans="1:31" ht="15.75" customHeight="1" hidden="1">
      <c r="A46" s="206"/>
      <c r="B46" s="213" t="s">
        <v>561</v>
      </c>
      <c r="C46" s="202" t="s">
        <v>562</v>
      </c>
      <c r="D46" s="202"/>
      <c r="E46" s="203" t="s">
        <v>562</v>
      </c>
      <c r="F46" s="203" t="s">
        <v>562</v>
      </c>
      <c r="G46" s="215" t="s">
        <v>562</v>
      </c>
      <c r="H46" s="215" t="s">
        <v>562</v>
      </c>
      <c r="I46" s="215" t="s">
        <v>562</v>
      </c>
      <c r="J46" s="210"/>
      <c r="K46" s="203" t="s">
        <v>562</v>
      </c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92"/>
      <c r="AB46" s="192"/>
      <c r="AC46" s="192"/>
      <c r="AD46" s="192"/>
      <c r="AE46" s="192"/>
    </row>
    <row r="47" spans="1:31" ht="15.75" customHeight="1" hidden="1">
      <c r="A47" s="206"/>
      <c r="B47" s="207" t="s">
        <v>556</v>
      </c>
      <c r="C47" s="202"/>
      <c r="D47" s="202"/>
      <c r="E47" s="203"/>
      <c r="F47" s="203"/>
      <c r="G47" s="215"/>
      <c r="H47" s="215"/>
      <c r="I47" s="215"/>
      <c r="J47" s="519">
        <f>(C47*D47*(1+H47/100)*I47*12)</f>
        <v>0</v>
      </c>
      <c r="K47" s="211" t="s">
        <v>563</v>
      </c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92"/>
      <c r="AB47" s="192"/>
      <c r="AC47" s="192"/>
      <c r="AD47" s="192"/>
      <c r="AE47" s="192"/>
    </row>
    <row r="48" spans="1:31" ht="15.75" customHeight="1" hidden="1">
      <c r="A48" s="206"/>
      <c r="B48" s="207" t="s">
        <v>558</v>
      </c>
      <c r="C48" s="202"/>
      <c r="D48" s="202"/>
      <c r="E48" s="203"/>
      <c r="F48" s="203"/>
      <c r="G48" s="215"/>
      <c r="H48" s="215"/>
      <c r="I48" s="215"/>
      <c r="J48" s="519">
        <f>(C48*D48*(1+H48/100)*I48*12)</f>
        <v>0</v>
      </c>
      <c r="K48" s="211" t="s">
        <v>563</v>
      </c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192"/>
      <c r="AB48" s="192"/>
      <c r="AC48" s="192"/>
      <c r="AD48" s="192"/>
      <c r="AE48" s="192"/>
    </row>
    <row r="49" spans="1:31" ht="15.75" customHeight="1" hidden="1">
      <c r="A49" s="206"/>
      <c r="B49" s="207" t="s">
        <v>559</v>
      </c>
      <c r="C49" s="202"/>
      <c r="D49" s="202"/>
      <c r="E49" s="203"/>
      <c r="F49" s="203"/>
      <c r="G49" s="215"/>
      <c r="H49" s="215"/>
      <c r="I49" s="215"/>
      <c r="J49" s="519">
        <f>(C49*D49*(1+H49/100)*I49*12)</f>
        <v>0</v>
      </c>
      <c r="K49" s="211" t="s">
        <v>563</v>
      </c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192"/>
      <c r="AB49" s="192"/>
      <c r="AC49" s="192"/>
      <c r="AD49" s="192"/>
      <c r="AE49" s="192"/>
    </row>
    <row r="50" spans="1:31" ht="15.75" customHeight="1" hidden="1">
      <c r="A50" s="206"/>
      <c r="B50" s="207" t="s">
        <v>560</v>
      </c>
      <c r="C50" s="202"/>
      <c r="D50" s="202"/>
      <c r="E50" s="203"/>
      <c r="F50" s="203"/>
      <c r="G50" s="215"/>
      <c r="H50" s="215"/>
      <c r="I50" s="215"/>
      <c r="J50" s="519">
        <f>(C50*D50*(1+H50/100)*I50*12)</f>
        <v>0</v>
      </c>
      <c r="K50" s="211" t="s">
        <v>563</v>
      </c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192"/>
      <c r="AB50" s="192"/>
      <c r="AC50" s="192"/>
      <c r="AD50" s="192"/>
      <c r="AE50" s="192"/>
    </row>
    <row r="51" spans="1:31" ht="15.75" customHeight="1" hidden="1">
      <c r="A51" s="206"/>
      <c r="B51" s="213" t="s">
        <v>561</v>
      </c>
      <c r="C51" s="202" t="s">
        <v>562</v>
      </c>
      <c r="D51" s="202"/>
      <c r="E51" s="203" t="s">
        <v>562</v>
      </c>
      <c r="F51" s="203" t="s">
        <v>562</v>
      </c>
      <c r="G51" s="215" t="s">
        <v>562</v>
      </c>
      <c r="H51" s="215" t="s">
        <v>562</v>
      </c>
      <c r="I51" s="215" t="s">
        <v>562</v>
      </c>
      <c r="J51" s="519">
        <f>SUM(J47:J50)</f>
        <v>0</v>
      </c>
      <c r="K51" s="203" t="s">
        <v>562</v>
      </c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</row>
    <row r="52" spans="1:11" ht="15.75" customHeight="1" hidden="1">
      <c r="A52" s="672" t="s">
        <v>561</v>
      </c>
      <c r="B52" s="673"/>
      <c r="C52" s="520"/>
      <c r="D52" s="217"/>
      <c r="E52" s="217"/>
      <c r="F52" s="217"/>
      <c r="G52" s="217"/>
      <c r="H52" s="217"/>
      <c r="I52" s="217"/>
      <c r="J52" s="521">
        <f>J46+J51</f>
        <v>0</v>
      </c>
      <c r="K52" s="219"/>
    </row>
    <row r="53" spans="1:11" ht="15.75" customHeight="1">
      <c r="A53" s="192"/>
      <c r="B53" s="220"/>
      <c r="C53" s="221"/>
      <c r="D53" s="220"/>
      <c r="E53" s="220"/>
      <c r="F53" s="220"/>
      <c r="G53" s="220"/>
      <c r="H53" s="220"/>
      <c r="I53" s="220"/>
      <c r="J53" s="541">
        <f>J52-K53</f>
        <v>-10116030.69</v>
      </c>
      <c r="K53" s="542">
        <v>10116030.69</v>
      </c>
    </row>
    <row r="54" spans="1:11" ht="15.75" customHeight="1">
      <c r="A54" s="192"/>
      <c r="B54" s="220"/>
      <c r="C54" s="221"/>
      <c r="D54" s="220"/>
      <c r="E54" s="220"/>
      <c r="F54" s="220"/>
      <c r="G54" s="220"/>
      <c r="H54" s="220"/>
      <c r="I54" s="220"/>
      <c r="J54" s="222"/>
      <c r="K54" s="223"/>
    </row>
    <row r="55" spans="1:11" ht="208.5" customHeight="1">
      <c r="A55" s="674" t="s">
        <v>564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</row>
    <row r="56" spans="2:11" ht="15.75" customHeight="1">
      <c r="B56" s="675"/>
      <c r="C56" s="675"/>
      <c r="D56" s="675"/>
      <c r="E56" s="675"/>
      <c r="F56" s="675"/>
      <c r="G56" s="675"/>
      <c r="H56" s="675"/>
      <c r="I56" s="675"/>
      <c r="J56" s="675"/>
      <c r="K56" s="675"/>
    </row>
    <row r="57" spans="2:9" ht="21" customHeight="1">
      <c r="B57" s="676" t="s">
        <v>565</v>
      </c>
      <c r="C57" s="676"/>
      <c r="D57" s="676"/>
      <c r="E57" s="676"/>
      <c r="F57" s="676"/>
      <c r="G57" s="676"/>
      <c r="H57" s="676"/>
      <c r="I57" s="676"/>
    </row>
    <row r="59" spans="1:9" ht="26.25" customHeight="1">
      <c r="A59" s="677" t="s">
        <v>545</v>
      </c>
      <c r="B59" s="679" t="s">
        <v>566</v>
      </c>
      <c r="C59" s="679" t="s">
        <v>567</v>
      </c>
      <c r="D59" s="679" t="s">
        <v>568</v>
      </c>
      <c r="E59" s="679" t="s">
        <v>569</v>
      </c>
      <c r="F59" s="681" t="s">
        <v>570</v>
      </c>
      <c r="G59" s="682"/>
      <c r="H59" s="683"/>
      <c r="I59" s="226"/>
    </row>
    <row r="60" spans="1:9" ht="39.75" customHeight="1">
      <c r="A60" s="678"/>
      <c r="B60" s="680"/>
      <c r="C60" s="680"/>
      <c r="D60" s="680"/>
      <c r="E60" s="680"/>
      <c r="F60" s="227" t="s">
        <v>33</v>
      </c>
      <c r="G60" s="225" t="s">
        <v>557</v>
      </c>
      <c r="H60" s="227" t="s">
        <v>563</v>
      </c>
      <c r="I60" s="228"/>
    </row>
    <row r="61" spans="1:9" ht="15.75">
      <c r="A61" s="206">
        <v>1</v>
      </c>
      <c r="B61" s="229">
        <v>2</v>
      </c>
      <c r="C61" s="229">
        <v>3</v>
      </c>
      <c r="D61" s="229">
        <v>4</v>
      </c>
      <c r="E61" s="229">
        <v>5</v>
      </c>
      <c r="F61" s="229">
        <v>6</v>
      </c>
      <c r="G61" s="230">
        <v>7</v>
      </c>
      <c r="H61" s="229">
        <v>8</v>
      </c>
      <c r="I61" s="231"/>
    </row>
    <row r="62" spans="1:9" ht="15.75">
      <c r="A62" s="206"/>
      <c r="B62" s="200"/>
      <c r="C62" s="206"/>
      <c r="D62" s="206"/>
      <c r="E62" s="206"/>
      <c r="F62" s="232"/>
      <c r="G62" s="233"/>
      <c r="H62" s="232"/>
      <c r="I62" s="192"/>
    </row>
    <row r="63" spans="1:9" ht="15.75">
      <c r="A63" s="206"/>
      <c r="B63" s="200"/>
      <c r="C63" s="206"/>
      <c r="D63" s="206"/>
      <c r="E63" s="206"/>
      <c r="F63" s="206"/>
      <c r="G63" s="233"/>
      <c r="H63" s="232"/>
      <c r="I63" s="192"/>
    </row>
    <row r="64" spans="1:9" ht="15.75">
      <c r="A64" s="684" t="s">
        <v>571</v>
      </c>
      <c r="B64" s="685"/>
      <c r="C64" s="200" t="s">
        <v>562</v>
      </c>
      <c r="D64" s="200" t="s">
        <v>562</v>
      </c>
      <c r="E64" s="200" t="s">
        <v>562</v>
      </c>
      <c r="F64" s="206"/>
      <c r="G64" s="233"/>
      <c r="H64" s="232"/>
      <c r="I64" s="192"/>
    </row>
    <row r="66" spans="2:6" ht="15.75">
      <c r="B66" s="686" t="s">
        <v>941</v>
      </c>
      <c r="C66" s="686"/>
      <c r="D66" s="686"/>
      <c r="E66" s="686"/>
      <c r="F66" s="686"/>
    </row>
    <row r="68" spans="1:9" ht="26.25" customHeight="1">
      <c r="A68" s="677" t="s">
        <v>545</v>
      </c>
      <c r="B68" s="679" t="s">
        <v>566</v>
      </c>
      <c r="C68" s="679" t="s">
        <v>573</v>
      </c>
      <c r="D68" s="679" t="s">
        <v>574</v>
      </c>
      <c r="E68" s="679" t="s">
        <v>575</v>
      </c>
      <c r="F68" s="687" t="s">
        <v>570</v>
      </c>
      <c r="G68" s="687"/>
      <c r="H68" s="687"/>
      <c r="I68" s="226"/>
    </row>
    <row r="69" spans="1:9" ht="51" customHeight="1">
      <c r="A69" s="678"/>
      <c r="B69" s="680"/>
      <c r="C69" s="680"/>
      <c r="D69" s="680"/>
      <c r="E69" s="680"/>
      <c r="F69" s="227" t="s">
        <v>33</v>
      </c>
      <c r="G69" s="227" t="s">
        <v>557</v>
      </c>
      <c r="H69" s="227" t="s">
        <v>563</v>
      </c>
      <c r="I69" s="228"/>
    </row>
    <row r="70" spans="1:9" ht="15.75">
      <c r="A70" s="206">
        <v>1</v>
      </c>
      <c r="B70" s="229">
        <v>2</v>
      </c>
      <c r="C70" s="229">
        <v>3</v>
      </c>
      <c r="D70" s="229">
        <v>4</v>
      </c>
      <c r="E70" s="229">
        <v>5</v>
      </c>
      <c r="F70" s="229">
        <v>6</v>
      </c>
      <c r="G70" s="229">
        <v>7</v>
      </c>
      <c r="H70" s="229">
        <v>8</v>
      </c>
      <c r="I70" s="231"/>
    </row>
    <row r="71" spans="1:9" ht="31.5">
      <c r="A71" s="410">
        <v>1</v>
      </c>
      <c r="B71" s="522" t="s">
        <v>854</v>
      </c>
      <c r="C71" s="410">
        <v>3</v>
      </c>
      <c r="D71" s="410">
        <v>12</v>
      </c>
      <c r="E71" s="410">
        <v>57.5</v>
      </c>
      <c r="F71" s="232">
        <f>SUM(G71:H71)</f>
        <v>1333.3</v>
      </c>
      <c r="G71" s="232">
        <v>1333.3</v>
      </c>
      <c r="H71" s="232">
        <v>0</v>
      </c>
      <c r="I71" s="192"/>
    </row>
    <row r="72" spans="1:9" ht="47.25">
      <c r="A72" s="206">
        <v>2</v>
      </c>
      <c r="B72" s="236" t="s">
        <v>942</v>
      </c>
      <c r="C72" s="206"/>
      <c r="D72" s="206"/>
      <c r="E72" s="206"/>
      <c r="F72" s="232">
        <f>G72</f>
        <v>140000</v>
      </c>
      <c r="G72" s="232">
        <v>140000</v>
      </c>
      <c r="H72" s="232"/>
      <c r="I72" s="192"/>
    </row>
    <row r="73" spans="1:9" ht="15.75">
      <c r="A73" s="684" t="s">
        <v>571</v>
      </c>
      <c r="B73" s="685"/>
      <c r="C73" s="200" t="s">
        <v>562</v>
      </c>
      <c r="D73" s="200" t="s">
        <v>562</v>
      </c>
      <c r="E73" s="200" t="s">
        <v>562</v>
      </c>
      <c r="F73" s="206">
        <f>F71+F72</f>
        <v>141333.3</v>
      </c>
      <c r="G73" s="206">
        <f>G71+G72</f>
        <v>141333.3</v>
      </c>
      <c r="H73" s="232"/>
      <c r="I73" s="192"/>
    </row>
    <row r="75" spans="2:9" ht="33" customHeight="1">
      <c r="B75" s="688" t="s">
        <v>576</v>
      </c>
      <c r="C75" s="688"/>
      <c r="D75" s="688"/>
      <c r="E75" s="688"/>
      <c r="F75" s="688"/>
      <c r="G75" s="688"/>
      <c r="H75" s="688"/>
      <c r="I75" s="688"/>
    </row>
    <row r="77" spans="1:9" ht="31.5" customHeight="1">
      <c r="A77" s="689" t="s">
        <v>545</v>
      </c>
      <c r="B77" s="687" t="s">
        <v>577</v>
      </c>
      <c r="C77" s="687"/>
      <c r="D77" s="687"/>
      <c r="E77" s="679" t="s">
        <v>578</v>
      </c>
      <c r="F77" s="687" t="s">
        <v>579</v>
      </c>
      <c r="G77" s="687"/>
      <c r="H77" s="687"/>
      <c r="I77" s="234"/>
    </row>
    <row r="78" spans="1:9" ht="31.5" customHeight="1">
      <c r="A78" s="690"/>
      <c r="B78" s="687"/>
      <c r="C78" s="687"/>
      <c r="D78" s="687"/>
      <c r="E78" s="680"/>
      <c r="F78" s="227" t="s">
        <v>580</v>
      </c>
      <c r="G78" s="227" t="s">
        <v>557</v>
      </c>
      <c r="H78" s="227" t="s">
        <v>563</v>
      </c>
      <c r="I78" s="228"/>
    </row>
    <row r="79" spans="1:9" ht="17.25" customHeight="1">
      <c r="A79" s="235">
        <v>1</v>
      </c>
      <c r="B79" s="691">
        <v>2</v>
      </c>
      <c r="C79" s="691"/>
      <c r="D79" s="691"/>
      <c r="E79" s="200">
        <v>3</v>
      </c>
      <c r="F79" s="200">
        <v>4</v>
      </c>
      <c r="G79" s="200">
        <v>5</v>
      </c>
      <c r="H79" s="200">
        <v>6</v>
      </c>
      <c r="I79" s="237"/>
    </row>
    <row r="80" spans="1:9" s="188" customFormat="1" ht="32.25" customHeight="1">
      <c r="A80" s="238">
        <v>1</v>
      </c>
      <c r="B80" s="649" t="s">
        <v>581</v>
      </c>
      <c r="C80" s="650"/>
      <c r="D80" s="651"/>
      <c r="E80" s="232" t="s">
        <v>562</v>
      </c>
      <c r="F80" s="232">
        <f>G80</f>
        <v>3993109.94</v>
      </c>
      <c r="G80" s="311">
        <f>G81</f>
        <v>3993109.94</v>
      </c>
      <c r="H80" s="232"/>
      <c r="I80" s="192"/>
    </row>
    <row r="81" spans="1:9" ht="34.5" customHeight="1">
      <c r="A81" s="238" t="s">
        <v>582</v>
      </c>
      <c r="B81" s="649" t="s">
        <v>583</v>
      </c>
      <c r="C81" s="650"/>
      <c r="D81" s="651"/>
      <c r="E81" s="239">
        <f>J20</f>
        <v>18150481.31</v>
      </c>
      <c r="F81" s="239">
        <f>SUM(G81:H81)</f>
        <v>3993109.94</v>
      </c>
      <c r="G81" s="239">
        <f>ROUND(E81*22%,2)+4.05</f>
        <v>3993109.94</v>
      </c>
      <c r="H81" s="206"/>
      <c r="I81" s="192"/>
    </row>
    <row r="82" spans="1:9" ht="16.5" customHeight="1">
      <c r="A82" s="238" t="s">
        <v>584</v>
      </c>
      <c r="B82" s="649" t="s">
        <v>585</v>
      </c>
      <c r="C82" s="650"/>
      <c r="D82" s="651"/>
      <c r="E82" s="240">
        <v>0</v>
      </c>
      <c r="F82" s="240"/>
      <c r="G82" s="240"/>
      <c r="H82" s="206"/>
      <c r="I82" s="192"/>
    </row>
    <row r="83" spans="1:9" ht="34.5" customHeight="1">
      <c r="A83" s="238" t="s">
        <v>586</v>
      </c>
      <c r="B83" s="649" t="s">
        <v>587</v>
      </c>
      <c r="C83" s="650"/>
      <c r="D83" s="651"/>
      <c r="E83" s="240">
        <v>0</v>
      </c>
      <c r="F83" s="240"/>
      <c r="G83" s="240"/>
      <c r="H83" s="206"/>
      <c r="I83" s="192"/>
    </row>
    <row r="84" spans="1:9" ht="33" customHeight="1">
      <c r="A84" s="238" t="s">
        <v>588</v>
      </c>
      <c r="B84" s="649" t="s">
        <v>589</v>
      </c>
      <c r="C84" s="650"/>
      <c r="D84" s="651"/>
      <c r="E84" s="239">
        <f>SUM(F84:G84)</f>
        <v>0</v>
      </c>
      <c r="F84" s="239">
        <f>SUM(G84:H84)</f>
        <v>0</v>
      </c>
      <c r="G84" s="240"/>
      <c r="H84" s="206"/>
      <c r="I84" s="192"/>
    </row>
    <row r="85" spans="1:9" ht="41.25" customHeight="1">
      <c r="A85" s="238" t="s">
        <v>590</v>
      </c>
      <c r="B85" s="652" t="s">
        <v>591</v>
      </c>
      <c r="C85" s="653"/>
      <c r="D85" s="654"/>
      <c r="E85" s="239">
        <f>E81</f>
        <v>18150481.31</v>
      </c>
      <c r="F85" s="239">
        <f>SUM(G85:H85)</f>
        <v>526363.96</v>
      </c>
      <c r="G85" s="239">
        <f>ROUND(E85*2.9%,2)</f>
        <v>526363.96</v>
      </c>
      <c r="H85" s="206"/>
      <c r="I85" s="192"/>
    </row>
    <row r="86" spans="1:9" ht="34.5" customHeight="1">
      <c r="A86" s="238" t="s">
        <v>592</v>
      </c>
      <c r="B86" s="649" t="s">
        <v>593</v>
      </c>
      <c r="C86" s="650"/>
      <c r="D86" s="651"/>
      <c r="E86" s="240">
        <v>0</v>
      </c>
      <c r="F86" s="240"/>
      <c r="G86" s="240"/>
      <c r="H86" s="206"/>
      <c r="I86" s="192"/>
    </row>
    <row r="87" spans="1:9" ht="33.75" customHeight="1">
      <c r="A87" s="238" t="s">
        <v>594</v>
      </c>
      <c r="B87" s="649" t="s">
        <v>595</v>
      </c>
      <c r="C87" s="650"/>
      <c r="D87" s="651"/>
      <c r="E87" s="239">
        <f>E85</f>
        <v>18150481.31</v>
      </c>
      <c r="F87" s="239">
        <f>SUM(G87:H87)</f>
        <v>36300.96</v>
      </c>
      <c r="G87" s="239">
        <f>ROUND(E87*0.2%,2)</f>
        <v>36300.96</v>
      </c>
      <c r="H87" s="206"/>
      <c r="I87" s="192"/>
    </row>
    <row r="88" spans="1:9" ht="33.75" customHeight="1">
      <c r="A88" s="238" t="s">
        <v>596</v>
      </c>
      <c r="B88" s="649" t="s">
        <v>597</v>
      </c>
      <c r="C88" s="650"/>
      <c r="D88" s="651"/>
      <c r="E88" s="240">
        <v>0</v>
      </c>
      <c r="F88" s="240"/>
      <c r="G88" s="240"/>
      <c r="H88" s="206"/>
      <c r="I88" s="192"/>
    </row>
    <row r="89" spans="1:9" ht="39.75" customHeight="1">
      <c r="A89" s="238" t="s">
        <v>598</v>
      </c>
      <c r="B89" s="649" t="s">
        <v>597</v>
      </c>
      <c r="C89" s="650"/>
      <c r="D89" s="651"/>
      <c r="E89" s="240">
        <v>0</v>
      </c>
      <c r="F89" s="240"/>
      <c r="G89" s="240"/>
      <c r="H89" s="206"/>
      <c r="I89" s="192"/>
    </row>
    <row r="90" spans="1:9" ht="30" customHeight="1">
      <c r="A90" s="238" t="s">
        <v>599</v>
      </c>
      <c r="B90" s="649" t="s">
        <v>600</v>
      </c>
      <c r="C90" s="650"/>
      <c r="D90" s="651"/>
      <c r="E90" s="239">
        <f>E87</f>
        <v>18150481.31</v>
      </c>
      <c r="F90" s="239">
        <f>SUM(G90:H90)</f>
        <v>925674.55</v>
      </c>
      <c r="G90" s="239">
        <f>ROUND(E90*5.1%,2)</f>
        <v>925674.55</v>
      </c>
      <c r="H90" s="206"/>
      <c r="I90" s="192"/>
    </row>
    <row r="91" spans="1:9" ht="30" customHeight="1">
      <c r="A91" s="238"/>
      <c r="B91" s="649" t="s">
        <v>581</v>
      </c>
      <c r="C91" s="650"/>
      <c r="D91" s="651"/>
      <c r="E91" s="232" t="s">
        <v>562</v>
      </c>
      <c r="F91" s="262">
        <f>SUM(F92)</f>
        <v>2256326.75</v>
      </c>
      <c r="G91" s="262">
        <f>SUM(G92)</f>
        <v>2256326.75</v>
      </c>
      <c r="H91" s="262">
        <f>SUM(H92)</f>
        <v>0</v>
      </c>
      <c r="I91" s="192"/>
    </row>
    <row r="92" spans="1:9" ht="30" customHeight="1">
      <c r="A92" s="238"/>
      <c r="B92" s="649" t="s">
        <v>583</v>
      </c>
      <c r="C92" s="650"/>
      <c r="D92" s="651"/>
      <c r="E92" s="262">
        <f>J25</f>
        <v>10116030.688000001</v>
      </c>
      <c r="F92" s="262">
        <f>SUM(G92:H92)</f>
        <v>2256326.75</v>
      </c>
      <c r="G92" s="262">
        <v>2256326.75</v>
      </c>
      <c r="H92" s="262">
        <v>0</v>
      </c>
      <c r="I92" s="192"/>
    </row>
    <row r="93" spans="1:9" ht="30" customHeight="1">
      <c r="A93" s="238"/>
      <c r="B93" s="649" t="s">
        <v>585</v>
      </c>
      <c r="C93" s="650"/>
      <c r="D93" s="651"/>
      <c r="E93" s="206"/>
      <c r="F93" s="206"/>
      <c r="G93" s="410"/>
      <c r="H93" s="232"/>
      <c r="I93" s="192"/>
    </row>
    <row r="94" spans="1:9" ht="30" customHeight="1">
      <c r="A94" s="238"/>
      <c r="B94" s="649" t="s">
        <v>587</v>
      </c>
      <c r="C94" s="650"/>
      <c r="D94" s="651"/>
      <c r="E94" s="206"/>
      <c r="F94" s="206"/>
      <c r="G94" s="523"/>
      <c r="H94" s="355"/>
      <c r="I94" s="192"/>
    </row>
    <row r="95" spans="1:9" ht="30" customHeight="1">
      <c r="A95" s="238"/>
      <c r="B95" s="649" t="s">
        <v>589</v>
      </c>
      <c r="C95" s="650"/>
      <c r="D95" s="651"/>
      <c r="E95" s="232" t="s">
        <v>562</v>
      </c>
      <c r="F95" s="355">
        <f>SUM(F96+F98)</f>
        <v>317935.71</v>
      </c>
      <c r="G95" s="355">
        <f>SUM(G96+G98)</f>
        <v>317935.71</v>
      </c>
      <c r="H95" s="355">
        <f>SUM(H96+H98)</f>
        <v>0</v>
      </c>
      <c r="I95" s="192"/>
    </row>
    <row r="96" spans="1:9" ht="30" customHeight="1">
      <c r="A96" s="238"/>
      <c r="B96" s="652" t="s">
        <v>591</v>
      </c>
      <c r="C96" s="653"/>
      <c r="D96" s="654"/>
      <c r="E96" s="262">
        <f>E92</f>
        <v>10116030.688000001</v>
      </c>
      <c r="F96" s="262">
        <f>SUM(G96:H96)</f>
        <v>297423.65</v>
      </c>
      <c r="G96" s="355">
        <v>297423.65</v>
      </c>
      <c r="H96" s="355">
        <v>0</v>
      </c>
      <c r="I96" s="192"/>
    </row>
    <row r="97" spans="1:9" ht="30" customHeight="1">
      <c r="A97" s="238"/>
      <c r="B97" s="649" t="s">
        <v>593</v>
      </c>
      <c r="C97" s="650"/>
      <c r="D97" s="651"/>
      <c r="E97" s="206"/>
      <c r="F97" s="206"/>
      <c r="G97" s="355"/>
      <c r="H97" s="355"/>
      <c r="I97" s="192"/>
    </row>
    <row r="98" spans="1:9" ht="30" customHeight="1">
      <c r="A98" s="238"/>
      <c r="B98" s="649" t="s">
        <v>595</v>
      </c>
      <c r="C98" s="650"/>
      <c r="D98" s="651"/>
      <c r="E98" s="262">
        <f>E96</f>
        <v>10116030.688000001</v>
      </c>
      <c r="F98" s="262">
        <f>SUM(G98:H98)</f>
        <v>20512.06</v>
      </c>
      <c r="G98" s="355">
        <v>20512.06</v>
      </c>
      <c r="H98" s="355">
        <v>0</v>
      </c>
      <c r="I98" s="192"/>
    </row>
    <row r="99" spans="1:9" ht="30" customHeight="1">
      <c r="A99" s="238"/>
      <c r="B99" s="649" t="s">
        <v>597</v>
      </c>
      <c r="C99" s="650"/>
      <c r="D99" s="651"/>
      <c r="E99" s="206"/>
      <c r="F99" s="206"/>
      <c r="G99" s="355"/>
      <c r="H99" s="355"/>
      <c r="I99" s="192"/>
    </row>
    <row r="100" spans="1:9" ht="30" customHeight="1">
      <c r="A100" s="238"/>
      <c r="B100" s="649" t="s">
        <v>597</v>
      </c>
      <c r="C100" s="650"/>
      <c r="D100" s="651"/>
      <c r="E100" s="206"/>
      <c r="F100" s="206"/>
      <c r="G100" s="355"/>
      <c r="H100" s="355"/>
      <c r="I100" s="192"/>
    </row>
    <row r="101" spans="1:9" ht="30" customHeight="1">
      <c r="A101" s="238"/>
      <c r="B101" s="649" t="s">
        <v>600</v>
      </c>
      <c r="C101" s="650"/>
      <c r="D101" s="651"/>
      <c r="E101" s="262">
        <f>E98</f>
        <v>10116030.688000001</v>
      </c>
      <c r="F101" s="262">
        <f>SUM(G101:H101)</f>
        <v>523057.57</v>
      </c>
      <c r="G101" s="355">
        <v>523057.57</v>
      </c>
      <c r="H101" s="355">
        <v>0</v>
      </c>
      <c r="I101" s="192"/>
    </row>
    <row r="102" spans="1:9" ht="30" customHeight="1">
      <c r="A102" s="238"/>
      <c r="B102" s="557"/>
      <c r="C102" s="558"/>
      <c r="D102" s="559"/>
      <c r="E102" s="239"/>
      <c r="F102" s="239"/>
      <c r="G102" s="239"/>
      <c r="H102" s="206"/>
      <c r="I102" s="192"/>
    </row>
    <row r="103" spans="1:9" ht="30" customHeight="1">
      <c r="A103" s="238"/>
      <c r="B103" s="557"/>
      <c r="C103" s="558"/>
      <c r="D103" s="559"/>
      <c r="E103" s="239"/>
      <c r="F103" s="239"/>
      <c r="G103" s="239"/>
      <c r="H103" s="206"/>
      <c r="I103" s="192"/>
    </row>
    <row r="104" spans="1:9" ht="30" customHeight="1">
      <c r="A104" s="238"/>
      <c r="B104" s="557"/>
      <c r="C104" s="558"/>
      <c r="D104" s="559"/>
      <c r="E104" s="239"/>
      <c r="F104" s="239"/>
      <c r="G104" s="239"/>
      <c r="H104" s="206"/>
      <c r="I104" s="192"/>
    </row>
    <row r="105" spans="1:9" ht="30.75" customHeight="1">
      <c r="A105" s="692" t="s">
        <v>571</v>
      </c>
      <c r="B105" s="692"/>
      <c r="C105" s="692"/>
      <c r="D105" s="692"/>
      <c r="E105" s="240" t="s">
        <v>562</v>
      </c>
      <c r="F105" s="241">
        <f>SUM(F81:F90)-0.01+F92+F95+F101</f>
        <v>8578769.43</v>
      </c>
      <c r="G105" s="241">
        <f>SUM(G81:G90)-0.01+G92+G95+G101</f>
        <v>8578769.43</v>
      </c>
      <c r="H105" s="242">
        <f>H80+H84+H90</f>
        <v>0</v>
      </c>
      <c r="I105" s="192"/>
    </row>
    <row r="106" spans="2:6" ht="16.5" customHeight="1">
      <c r="B106" s="243"/>
      <c r="C106" s="243"/>
      <c r="D106" s="243"/>
      <c r="E106" s="237"/>
      <c r="F106" s="192"/>
    </row>
    <row r="107" spans="2:9" ht="33.75" customHeight="1" hidden="1">
      <c r="B107" s="688" t="s">
        <v>855</v>
      </c>
      <c r="C107" s="688"/>
      <c r="D107" s="688"/>
      <c r="E107" s="688"/>
      <c r="F107" s="688"/>
      <c r="G107" s="688"/>
      <c r="H107" s="688"/>
      <c r="I107" s="688"/>
    </row>
    <row r="108" spans="2:6" ht="16.5" customHeight="1" hidden="1">
      <c r="B108" s="243"/>
      <c r="C108" s="243"/>
      <c r="D108" s="243"/>
      <c r="E108" s="237"/>
      <c r="F108" s="192"/>
    </row>
    <row r="109" spans="1:9" ht="16.5" customHeight="1" hidden="1">
      <c r="A109" s="689" t="s">
        <v>545</v>
      </c>
      <c r="B109" s="687" t="s">
        <v>577</v>
      </c>
      <c r="C109" s="687"/>
      <c r="D109" s="687"/>
      <c r="E109" s="679" t="s">
        <v>578</v>
      </c>
      <c r="F109" s="687" t="s">
        <v>579</v>
      </c>
      <c r="G109" s="687"/>
      <c r="H109" s="687"/>
      <c r="I109" s="234"/>
    </row>
    <row r="110" spans="1:9" ht="16.5" customHeight="1" hidden="1">
      <c r="A110" s="690"/>
      <c r="B110" s="687"/>
      <c r="C110" s="687"/>
      <c r="D110" s="687"/>
      <c r="E110" s="680"/>
      <c r="F110" s="227" t="s">
        <v>580</v>
      </c>
      <c r="G110" s="227" t="s">
        <v>557</v>
      </c>
      <c r="H110" s="227" t="s">
        <v>563</v>
      </c>
      <c r="I110" s="228"/>
    </row>
    <row r="111" spans="1:9" ht="16.5" customHeight="1" hidden="1">
      <c r="A111" s="235">
        <v>1</v>
      </c>
      <c r="B111" s="691">
        <v>2</v>
      </c>
      <c r="C111" s="691"/>
      <c r="D111" s="691"/>
      <c r="E111" s="200">
        <v>3</v>
      </c>
      <c r="F111" s="200">
        <v>4</v>
      </c>
      <c r="G111" s="200">
        <v>5</v>
      </c>
      <c r="H111" s="200">
        <v>6</v>
      </c>
      <c r="I111" s="237"/>
    </row>
    <row r="112" spans="1:9" s="188" customFormat="1" ht="16.5" customHeight="1" hidden="1">
      <c r="A112" s="238">
        <v>1</v>
      </c>
      <c r="B112" s="649" t="s">
        <v>581</v>
      </c>
      <c r="C112" s="650"/>
      <c r="D112" s="651"/>
      <c r="E112" s="232" t="s">
        <v>562</v>
      </c>
      <c r="F112" s="262"/>
      <c r="G112" s="262"/>
      <c r="H112" s="262">
        <f>SUM(H113)</f>
        <v>0</v>
      </c>
      <c r="I112" s="192"/>
    </row>
    <row r="113" spans="1:9" ht="31.5" customHeight="1" hidden="1">
      <c r="A113" s="238" t="s">
        <v>582</v>
      </c>
      <c r="B113" s="649" t="s">
        <v>583</v>
      </c>
      <c r="C113" s="650"/>
      <c r="D113" s="651"/>
      <c r="E113" s="262">
        <f>J52</f>
        <v>0</v>
      </c>
      <c r="F113" s="262"/>
      <c r="G113" s="262"/>
      <c r="H113" s="262">
        <v>0</v>
      </c>
      <c r="I113" s="192"/>
    </row>
    <row r="114" spans="1:9" ht="16.5" customHeight="1" hidden="1">
      <c r="A114" s="238" t="s">
        <v>584</v>
      </c>
      <c r="B114" s="649" t="s">
        <v>585</v>
      </c>
      <c r="C114" s="650"/>
      <c r="D114" s="651"/>
      <c r="E114" s="206"/>
      <c r="F114" s="206"/>
      <c r="G114" s="410"/>
      <c r="H114" s="232"/>
      <c r="I114" s="192"/>
    </row>
    <row r="115" spans="1:9" ht="16.5" customHeight="1" hidden="1">
      <c r="A115" s="238" t="s">
        <v>586</v>
      </c>
      <c r="B115" s="649" t="s">
        <v>587</v>
      </c>
      <c r="C115" s="650"/>
      <c r="D115" s="651"/>
      <c r="E115" s="206"/>
      <c r="F115" s="206"/>
      <c r="G115" s="523"/>
      <c r="H115" s="355"/>
      <c r="I115" s="192"/>
    </row>
    <row r="116" spans="1:9" ht="33" customHeight="1" hidden="1">
      <c r="A116" s="238" t="s">
        <v>588</v>
      </c>
      <c r="B116" s="649" t="s">
        <v>589</v>
      </c>
      <c r="C116" s="650"/>
      <c r="D116" s="651"/>
      <c r="E116" s="232" t="s">
        <v>562</v>
      </c>
      <c r="F116" s="355"/>
      <c r="G116" s="355"/>
      <c r="H116" s="355">
        <f>SUM(H117+H119)</f>
        <v>0</v>
      </c>
      <c r="I116" s="192"/>
    </row>
    <row r="117" spans="1:9" ht="42.75" customHeight="1" hidden="1">
      <c r="A117" s="238" t="s">
        <v>590</v>
      </c>
      <c r="B117" s="652" t="s">
        <v>591</v>
      </c>
      <c r="C117" s="653"/>
      <c r="D117" s="654"/>
      <c r="E117" s="262">
        <f>E113</f>
        <v>0</v>
      </c>
      <c r="F117" s="262"/>
      <c r="G117" s="355"/>
      <c r="H117" s="355">
        <v>0</v>
      </c>
      <c r="I117" s="192"/>
    </row>
    <row r="118" spans="1:9" ht="30" customHeight="1" hidden="1">
      <c r="A118" s="238" t="s">
        <v>592</v>
      </c>
      <c r="B118" s="649" t="s">
        <v>593</v>
      </c>
      <c r="C118" s="650"/>
      <c r="D118" s="651"/>
      <c r="E118" s="206"/>
      <c r="F118" s="206"/>
      <c r="G118" s="355"/>
      <c r="H118" s="355"/>
      <c r="I118" s="192"/>
    </row>
    <row r="119" spans="1:9" ht="30" customHeight="1" hidden="1">
      <c r="A119" s="238" t="s">
        <v>594</v>
      </c>
      <c r="B119" s="649" t="s">
        <v>595</v>
      </c>
      <c r="C119" s="650"/>
      <c r="D119" s="651"/>
      <c r="E119" s="262">
        <f>E117</f>
        <v>0</v>
      </c>
      <c r="F119" s="262"/>
      <c r="G119" s="355"/>
      <c r="H119" s="355">
        <v>0</v>
      </c>
      <c r="I119" s="192"/>
    </row>
    <row r="120" spans="1:9" ht="30" customHeight="1" hidden="1">
      <c r="A120" s="238" t="s">
        <v>596</v>
      </c>
      <c r="B120" s="649" t="s">
        <v>597</v>
      </c>
      <c r="C120" s="650"/>
      <c r="D120" s="651"/>
      <c r="E120" s="206"/>
      <c r="F120" s="206"/>
      <c r="G120" s="355"/>
      <c r="H120" s="355"/>
      <c r="I120" s="192"/>
    </row>
    <row r="121" spans="1:9" ht="30" customHeight="1" hidden="1">
      <c r="A121" s="238" t="s">
        <v>598</v>
      </c>
      <c r="B121" s="649" t="s">
        <v>597</v>
      </c>
      <c r="C121" s="650"/>
      <c r="D121" s="651"/>
      <c r="E121" s="206"/>
      <c r="F121" s="206"/>
      <c r="G121" s="355"/>
      <c r="H121" s="355"/>
      <c r="I121" s="192"/>
    </row>
    <row r="122" spans="1:9" ht="29.25" customHeight="1" hidden="1">
      <c r="A122" s="238" t="s">
        <v>599</v>
      </c>
      <c r="B122" s="649" t="s">
        <v>600</v>
      </c>
      <c r="C122" s="650"/>
      <c r="D122" s="651"/>
      <c r="E122" s="262">
        <f>E119</f>
        <v>0</v>
      </c>
      <c r="F122" s="262"/>
      <c r="G122" s="355"/>
      <c r="H122" s="355">
        <v>0</v>
      </c>
      <c r="I122" s="192"/>
    </row>
    <row r="123" spans="1:9" ht="16.5" customHeight="1" hidden="1">
      <c r="A123" s="692" t="s">
        <v>571</v>
      </c>
      <c r="B123" s="692"/>
      <c r="C123" s="692"/>
      <c r="D123" s="692"/>
      <c r="E123" s="200" t="s">
        <v>562</v>
      </c>
      <c r="F123" s="524">
        <f>F112+F116+F122</f>
        <v>0</v>
      </c>
      <c r="G123" s="524">
        <f>G112+G116+G122</f>
        <v>0</v>
      </c>
      <c r="H123" s="524">
        <f>H112+H116+H122</f>
        <v>0</v>
      </c>
      <c r="I123" s="192"/>
    </row>
    <row r="124" spans="2:6" ht="16.5" customHeight="1">
      <c r="B124" s="243"/>
      <c r="C124" s="243"/>
      <c r="D124" s="243"/>
      <c r="E124" s="237"/>
      <c r="F124" s="192"/>
    </row>
    <row r="125" spans="2:6" ht="16.5" customHeight="1">
      <c r="B125" s="243"/>
      <c r="C125" s="243"/>
      <c r="D125" s="243"/>
      <c r="E125" s="237"/>
      <c r="F125" s="192"/>
    </row>
    <row r="126" spans="1:11" ht="99" customHeight="1">
      <c r="A126" s="693" t="s">
        <v>601</v>
      </c>
      <c r="B126" s="693"/>
      <c r="C126" s="693"/>
      <c r="D126" s="693"/>
      <c r="E126" s="693"/>
      <c r="F126" s="693"/>
      <c r="G126" s="693"/>
      <c r="H126" s="693"/>
      <c r="I126" s="693"/>
      <c r="J126" s="693"/>
      <c r="K126" s="693"/>
    </row>
    <row r="127" spans="2:6" ht="21" customHeight="1">
      <c r="B127" s="694"/>
      <c r="C127" s="694"/>
      <c r="D127" s="694"/>
      <c r="E127" s="694"/>
      <c r="F127" s="694"/>
    </row>
    <row r="128" spans="1:11" s="245" customFormat="1" ht="27" customHeight="1">
      <c r="A128" s="695" t="s">
        <v>602</v>
      </c>
      <c r="B128" s="695"/>
      <c r="C128" s="695"/>
      <c r="D128" s="695"/>
      <c r="E128" s="695"/>
      <c r="F128" s="695"/>
      <c r="G128" s="695"/>
      <c r="H128" s="695"/>
      <c r="I128" s="695"/>
      <c r="J128" s="695"/>
      <c r="K128" s="695"/>
    </row>
    <row r="129" spans="1:11" s="245" customFormat="1" ht="16.5" customHeight="1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</row>
    <row r="130" spans="2:31" ht="15.75" customHeight="1">
      <c r="B130" s="193" t="s">
        <v>603</v>
      </c>
      <c r="C130" s="193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2:31" ht="15.75" customHeight="1">
      <c r="B131" s="186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2:31" ht="15.75" customHeight="1">
      <c r="B132" s="193" t="s">
        <v>542</v>
      </c>
      <c r="C132" s="193"/>
      <c r="D132" s="193" t="s">
        <v>604</v>
      </c>
      <c r="E132" s="193"/>
      <c r="F132" s="193"/>
      <c r="G132" s="193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2:31" ht="15.75" customHeight="1">
      <c r="B133" s="186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</row>
    <row r="134" spans="1:9" s="245" customFormat="1" ht="15.75" customHeight="1">
      <c r="A134" s="689" t="s">
        <v>545</v>
      </c>
      <c r="B134" s="696" t="s">
        <v>1</v>
      </c>
      <c r="C134" s="696"/>
      <c r="D134" s="696"/>
      <c r="E134" s="696" t="s">
        <v>605</v>
      </c>
      <c r="F134" s="696" t="s">
        <v>606</v>
      </c>
      <c r="G134" s="681" t="s">
        <v>579</v>
      </c>
      <c r="H134" s="682"/>
      <c r="I134" s="683"/>
    </row>
    <row r="135" spans="1:49" s="245" customFormat="1" ht="51" customHeight="1">
      <c r="A135" s="690"/>
      <c r="B135" s="696"/>
      <c r="C135" s="696"/>
      <c r="D135" s="696"/>
      <c r="E135" s="696"/>
      <c r="F135" s="696"/>
      <c r="G135" s="227" t="s">
        <v>607</v>
      </c>
      <c r="H135" s="225" t="s">
        <v>557</v>
      </c>
      <c r="I135" s="227" t="s">
        <v>563</v>
      </c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</row>
    <row r="136" spans="1:49" s="245" customFormat="1" ht="15.75">
      <c r="A136" s="248">
        <v>1</v>
      </c>
      <c r="B136" s="697">
        <v>2</v>
      </c>
      <c r="C136" s="697"/>
      <c r="D136" s="697"/>
      <c r="E136" s="248">
        <v>3</v>
      </c>
      <c r="F136" s="249">
        <v>4</v>
      </c>
      <c r="G136" s="250">
        <v>4</v>
      </c>
      <c r="H136" s="251">
        <v>5</v>
      </c>
      <c r="I136" s="250">
        <v>6</v>
      </c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</row>
    <row r="137" spans="1:49" s="245" customFormat="1" ht="32.25" customHeight="1">
      <c r="A137" s="252" t="s">
        <v>608</v>
      </c>
      <c r="B137" s="698" t="s">
        <v>761</v>
      </c>
      <c r="C137" s="698"/>
      <c r="D137" s="698"/>
      <c r="E137" s="253">
        <v>110000</v>
      </c>
      <c r="F137" s="254">
        <v>1</v>
      </c>
      <c r="G137" s="232">
        <f>H137</f>
        <v>126825.3</v>
      </c>
      <c r="H137" s="233">
        <f>110000+16825.3</f>
        <v>126825.3</v>
      </c>
      <c r="I137" s="23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</row>
    <row r="138" spans="1:49" s="245" customFormat="1" ht="30.75" customHeight="1">
      <c r="A138" s="252" t="s">
        <v>588</v>
      </c>
      <c r="B138" s="698"/>
      <c r="C138" s="698"/>
      <c r="D138" s="698"/>
      <c r="E138" s="253"/>
      <c r="F138" s="254"/>
      <c r="G138" s="232"/>
      <c r="H138" s="233"/>
      <c r="I138" s="23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</row>
    <row r="139" spans="1:49" s="245" customFormat="1" ht="35.25" customHeight="1">
      <c r="A139" s="252" t="s">
        <v>599</v>
      </c>
      <c r="B139" s="698"/>
      <c r="C139" s="698"/>
      <c r="D139" s="698"/>
      <c r="E139" s="253"/>
      <c r="F139" s="254"/>
      <c r="G139" s="232"/>
      <c r="H139" s="233"/>
      <c r="I139" s="23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</row>
    <row r="140" spans="1:49" s="244" customFormat="1" ht="15.75">
      <c r="A140" s="699" t="s">
        <v>561</v>
      </c>
      <c r="B140" s="700"/>
      <c r="C140" s="700"/>
      <c r="D140" s="701"/>
      <c r="E140" s="218" t="s">
        <v>562</v>
      </c>
      <c r="F140" s="341" t="s">
        <v>562</v>
      </c>
      <c r="G140" s="315">
        <f>SUM(G137:G139)</f>
        <v>126825.3</v>
      </c>
      <c r="H140" s="405">
        <f>SUM(H137:H139)</f>
        <v>126825.3</v>
      </c>
      <c r="I140" s="406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8"/>
      <c r="X140" s="408"/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408"/>
      <c r="AI140" s="408"/>
      <c r="AJ140" s="408"/>
      <c r="AK140" s="408"/>
      <c r="AL140" s="408"/>
      <c r="AM140" s="408"/>
      <c r="AN140" s="408"/>
      <c r="AO140" s="408"/>
      <c r="AP140" s="408"/>
      <c r="AQ140" s="408"/>
      <c r="AR140" s="408"/>
      <c r="AS140" s="408"/>
      <c r="AT140" s="408"/>
      <c r="AU140" s="408"/>
      <c r="AV140" s="408"/>
      <c r="AW140" s="408"/>
    </row>
    <row r="141" spans="6:49" s="245" customFormat="1" ht="15.75"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/>
      <c r="AJ141" s="257"/>
      <c r="AK141" s="257"/>
      <c r="AL141" s="257"/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</row>
    <row r="142" spans="1:49" s="245" customFormat="1" ht="69" customHeight="1">
      <c r="A142" s="702" t="s">
        <v>609</v>
      </c>
      <c r="B142" s="702"/>
      <c r="C142" s="702"/>
      <c r="D142" s="702"/>
      <c r="E142" s="702"/>
      <c r="F142" s="702"/>
      <c r="G142" s="702"/>
      <c r="H142" s="702"/>
      <c r="I142" s="702"/>
      <c r="J142" s="702"/>
      <c r="K142" s="702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7"/>
      <c r="AK142" s="257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57"/>
      <c r="AV142" s="257"/>
      <c r="AW142" s="257"/>
    </row>
    <row r="143" s="245" customFormat="1" ht="15.75"/>
    <row r="144" spans="1:11" ht="15.75" customHeight="1">
      <c r="A144" s="695" t="s">
        <v>610</v>
      </c>
      <c r="B144" s="695"/>
      <c r="C144" s="695"/>
      <c r="D144" s="695"/>
      <c r="E144" s="695"/>
      <c r="F144" s="695"/>
      <c r="G144" s="695"/>
      <c r="H144" s="695"/>
      <c r="I144" s="695"/>
      <c r="J144" s="695"/>
      <c r="K144" s="695"/>
    </row>
    <row r="145" spans="1:11" ht="15.75" customHeight="1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</row>
    <row r="146" spans="2:31" ht="15.75" customHeight="1">
      <c r="B146" s="193" t="s">
        <v>611</v>
      </c>
      <c r="C146" s="193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</row>
    <row r="147" spans="2:31" ht="15.75" customHeight="1">
      <c r="B147" s="186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</row>
    <row r="148" spans="2:31" ht="15.75" customHeight="1">
      <c r="B148" s="193" t="s">
        <v>542</v>
      </c>
      <c r="C148" s="193"/>
      <c r="D148" s="193" t="s">
        <v>604</v>
      </c>
      <c r="E148" s="193"/>
      <c r="F148" s="193"/>
      <c r="G148" s="193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</row>
    <row r="149" spans="1:4" ht="15.75" customHeight="1">
      <c r="A149" s="194"/>
      <c r="B149" s="194"/>
      <c r="C149" s="194"/>
      <c r="D149" s="194"/>
    </row>
    <row r="150" spans="1:8" ht="15.75" customHeight="1">
      <c r="A150" s="689" t="s">
        <v>545</v>
      </c>
      <c r="B150" s="687" t="s">
        <v>612</v>
      </c>
      <c r="C150" s="687"/>
      <c r="D150" s="679" t="s">
        <v>613</v>
      </c>
      <c r="E150" s="679" t="s">
        <v>614</v>
      </c>
      <c r="F150" s="703" t="s">
        <v>579</v>
      </c>
      <c r="G150" s="704"/>
      <c r="H150" s="705"/>
    </row>
    <row r="151" spans="1:8" ht="51.75" customHeight="1">
      <c r="A151" s="690"/>
      <c r="B151" s="687"/>
      <c r="C151" s="687"/>
      <c r="D151" s="680"/>
      <c r="E151" s="680"/>
      <c r="F151" s="258" t="s">
        <v>615</v>
      </c>
      <c r="G151" s="225" t="s">
        <v>557</v>
      </c>
      <c r="H151" s="227" t="s">
        <v>563</v>
      </c>
    </row>
    <row r="152" spans="1:8" ht="15.75">
      <c r="A152" s="259">
        <v>1</v>
      </c>
      <c r="B152" s="706">
        <v>2</v>
      </c>
      <c r="C152" s="706"/>
      <c r="D152" s="259">
        <v>3</v>
      </c>
      <c r="E152" s="259">
        <v>4</v>
      </c>
      <c r="F152" s="259">
        <v>5</v>
      </c>
      <c r="G152" s="260">
        <v>6</v>
      </c>
      <c r="H152" s="259">
        <v>7</v>
      </c>
    </row>
    <row r="153" spans="1:8" ht="15.75">
      <c r="A153" s="200">
        <v>1</v>
      </c>
      <c r="B153" s="707" t="s">
        <v>616</v>
      </c>
      <c r="C153" s="707"/>
      <c r="D153" s="261">
        <v>197314200</v>
      </c>
      <c r="E153" s="261">
        <v>1.5</v>
      </c>
      <c r="F153" s="262"/>
      <c r="G153" s="233"/>
      <c r="H153" s="262">
        <f>D153*E153%</f>
        <v>2959713</v>
      </c>
    </row>
    <row r="154" spans="1:8" ht="15.75">
      <c r="A154" s="200">
        <v>2</v>
      </c>
      <c r="B154" s="707" t="s">
        <v>949</v>
      </c>
      <c r="C154" s="707"/>
      <c r="D154" s="263"/>
      <c r="E154" s="263"/>
      <c r="F154" s="232"/>
      <c r="G154" s="233"/>
      <c r="H154" s="262">
        <v>3750</v>
      </c>
    </row>
    <row r="155" spans="1:8" ht="33.75" customHeight="1">
      <c r="A155" s="200">
        <v>3</v>
      </c>
      <c r="B155" s="708" t="s">
        <v>618</v>
      </c>
      <c r="C155" s="708"/>
      <c r="D155" s="206"/>
      <c r="E155" s="206"/>
      <c r="F155" s="206"/>
      <c r="G155" s="233"/>
      <c r="H155" s="262"/>
    </row>
    <row r="156" spans="1:8" ht="15.75">
      <c r="A156" s="200">
        <v>4</v>
      </c>
      <c r="B156" s="707" t="s">
        <v>616</v>
      </c>
      <c r="C156" s="707"/>
      <c r="D156" s="263">
        <v>79280149.9</v>
      </c>
      <c r="E156" s="263">
        <v>1.5</v>
      </c>
      <c r="F156" s="355"/>
      <c r="G156" s="525">
        <v>0</v>
      </c>
      <c r="H156" s="355">
        <v>1082174</v>
      </c>
    </row>
    <row r="157" spans="1:8" ht="15.75">
      <c r="A157" s="200">
        <v>5</v>
      </c>
      <c r="B157" s="707"/>
      <c r="C157" s="707"/>
      <c r="D157" s="206"/>
      <c r="E157" s="264"/>
      <c r="F157" s="206"/>
      <c r="G157" s="233"/>
      <c r="H157" s="262"/>
    </row>
    <row r="158" spans="1:8" ht="15.75">
      <c r="A158" s="709" t="s">
        <v>561</v>
      </c>
      <c r="B158" s="710"/>
      <c r="C158" s="711"/>
      <c r="D158" s="265">
        <f>SUM(D153:D157)</f>
        <v>276594349.9</v>
      </c>
      <c r="E158" s="266" t="s">
        <v>562</v>
      </c>
      <c r="F158" s="356">
        <f>F156+F153</f>
        <v>0</v>
      </c>
      <c r="G158" s="233"/>
      <c r="H158" s="267">
        <f>SUM(H153:H157)</f>
        <v>4045637</v>
      </c>
    </row>
    <row r="159" spans="1:7" ht="15.75">
      <c r="A159" s="192"/>
      <c r="B159" s="192"/>
      <c r="C159" s="192"/>
      <c r="D159" s="192"/>
      <c r="E159" s="192"/>
      <c r="F159" s="192"/>
      <c r="G159" s="192"/>
    </row>
    <row r="160" spans="1:11" ht="15.75" hidden="1">
      <c r="A160" s="695" t="s">
        <v>856</v>
      </c>
      <c r="B160" s="695"/>
      <c r="C160" s="695"/>
      <c r="D160" s="695"/>
      <c r="E160" s="695"/>
      <c r="F160" s="695"/>
      <c r="G160" s="695"/>
      <c r="H160" s="695"/>
      <c r="I160" s="695"/>
      <c r="J160" s="695"/>
      <c r="K160" s="695"/>
    </row>
    <row r="161" spans="1:11" ht="15.75" hidden="1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31" ht="15.75" hidden="1">
      <c r="B162" s="193" t="s">
        <v>611</v>
      </c>
      <c r="C162" s="193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</row>
    <row r="163" spans="2:31" ht="15.75" hidden="1">
      <c r="B163" s="186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</row>
    <row r="164" spans="2:31" ht="15.75" hidden="1">
      <c r="B164" s="193" t="s">
        <v>542</v>
      </c>
      <c r="C164" s="193"/>
      <c r="D164" s="193" t="s">
        <v>604</v>
      </c>
      <c r="E164" s="193"/>
      <c r="F164" s="193"/>
      <c r="G164" s="193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</row>
    <row r="165" spans="1:4" ht="15.75" hidden="1">
      <c r="A165" s="194"/>
      <c r="B165" s="194"/>
      <c r="C165" s="194"/>
      <c r="D165" s="194"/>
    </row>
    <row r="166" spans="1:8" ht="15.75" hidden="1">
      <c r="A166" s="689" t="s">
        <v>545</v>
      </c>
      <c r="B166" s="687" t="s">
        <v>612</v>
      </c>
      <c r="C166" s="687"/>
      <c r="D166" s="679" t="s">
        <v>613</v>
      </c>
      <c r="E166" s="679" t="s">
        <v>614</v>
      </c>
      <c r="F166" s="703" t="s">
        <v>579</v>
      </c>
      <c r="G166" s="704"/>
      <c r="H166" s="705"/>
    </row>
    <row r="167" spans="1:8" ht="63.75" hidden="1">
      <c r="A167" s="690"/>
      <c r="B167" s="687"/>
      <c r="C167" s="687"/>
      <c r="D167" s="680"/>
      <c r="E167" s="680"/>
      <c r="F167" s="258" t="s">
        <v>615</v>
      </c>
      <c r="G167" s="225" t="s">
        <v>557</v>
      </c>
      <c r="H167" s="227" t="s">
        <v>563</v>
      </c>
    </row>
    <row r="168" spans="1:8" ht="15.75" hidden="1">
      <c r="A168" s="259">
        <v>1</v>
      </c>
      <c r="B168" s="706">
        <v>2</v>
      </c>
      <c r="C168" s="706"/>
      <c r="D168" s="259">
        <v>3</v>
      </c>
      <c r="E168" s="259">
        <v>4</v>
      </c>
      <c r="F168" s="259">
        <v>5</v>
      </c>
      <c r="G168" s="260">
        <v>6</v>
      </c>
      <c r="H168" s="259">
        <v>7</v>
      </c>
    </row>
    <row r="169" spans="1:8" ht="15.75" hidden="1">
      <c r="A169" s="200">
        <v>1</v>
      </c>
      <c r="B169" s="707" t="s">
        <v>616</v>
      </c>
      <c r="C169" s="707"/>
      <c r="D169" s="263">
        <v>79280149.9</v>
      </c>
      <c r="E169" s="263">
        <v>1.5</v>
      </c>
      <c r="F169" s="355">
        <v>1189202</v>
      </c>
      <c r="G169" s="525">
        <v>0</v>
      </c>
      <c r="H169" s="355"/>
    </row>
    <row r="170" spans="1:8" ht="15.75" hidden="1">
      <c r="A170" s="200">
        <v>2</v>
      </c>
      <c r="B170" s="707" t="s">
        <v>617</v>
      </c>
      <c r="C170" s="707"/>
      <c r="D170" s="263" t="s">
        <v>754</v>
      </c>
      <c r="E170" s="263" t="s">
        <v>754</v>
      </c>
      <c r="F170" s="265" t="s">
        <v>754</v>
      </c>
      <c r="G170" s="525">
        <v>0</v>
      </c>
      <c r="H170" s="355">
        <v>0</v>
      </c>
    </row>
    <row r="171" spans="1:8" ht="15.75" hidden="1">
      <c r="A171" s="200">
        <v>3</v>
      </c>
      <c r="B171" s="708" t="s">
        <v>618</v>
      </c>
      <c r="C171" s="708"/>
      <c r="D171" s="200" t="s">
        <v>754</v>
      </c>
      <c r="E171" s="200" t="s">
        <v>754</v>
      </c>
      <c r="F171" s="265" t="s">
        <v>754</v>
      </c>
      <c r="G171" s="525">
        <v>0</v>
      </c>
      <c r="H171" s="355">
        <v>0</v>
      </c>
    </row>
    <row r="172" spans="1:8" ht="16.5" hidden="1">
      <c r="A172" s="709" t="s">
        <v>561</v>
      </c>
      <c r="B172" s="710"/>
      <c r="C172" s="711"/>
      <c r="D172" s="275"/>
      <c r="E172" s="266" t="s">
        <v>562</v>
      </c>
      <c r="F172" s="356"/>
      <c r="G172" s="526">
        <v>0</v>
      </c>
      <c r="H172" s="521">
        <f>SUM(H169)</f>
        <v>0</v>
      </c>
    </row>
    <row r="173" spans="1:7" ht="15.75">
      <c r="A173" s="192"/>
      <c r="B173" s="192"/>
      <c r="C173" s="192"/>
      <c r="D173" s="192"/>
      <c r="E173" s="192"/>
      <c r="F173" s="192"/>
      <c r="G173" s="192"/>
    </row>
    <row r="174" spans="1:11" ht="49.5" customHeight="1">
      <c r="A174" s="712" t="s">
        <v>619</v>
      </c>
      <c r="B174" s="712"/>
      <c r="C174" s="712"/>
      <c r="D174" s="712"/>
      <c r="E174" s="712"/>
      <c r="F174" s="712"/>
      <c r="G174" s="712"/>
      <c r="H174" s="712"/>
      <c r="I174" s="712"/>
      <c r="J174" s="712"/>
      <c r="K174" s="712"/>
    </row>
    <row r="175" spans="1:7" ht="15.75">
      <c r="A175" s="192"/>
      <c r="B175" s="192"/>
      <c r="C175" s="192"/>
      <c r="D175" s="192"/>
      <c r="E175" s="192"/>
      <c r="F175" s="192"/>
      <c r="G175" s="192"/>
    </row>
    <row r="176" spans="1:11" ht="15.75">
      <c r="A176" s="713" t="s">
        <v>620</v>
      </c>
      <c r="B176" s="713"/>
      <c r="C176" s="713"/>
      <c r="D176" s="713"/>
      <c r="E176" s="713"/>
      <c r="F176" s="713"/>
      <c r="G176" s="713"/>
      <c r="H176" s="713"/>
      <c r="I176" s="713"/>
      <c r="J176" s="713"/>
      <c r="K176" s="713"/>
    </row>
    <row r="177" spans="1:7" ht="17.25" customHeight="1">
      <c r="A177" s="714" t="s">
        <v>621</v>
      </c>
      <c r="B177" s="714"/>
      <c r="C177" s="714"/>
      <c r="D177" s="714"/>
      <c r="E177" s="714"/>
      <c r="F177" s="192"/>
      <c r="G177" s="192"/>
    </row>
    <row r="178" spans="2:31" ht="15.75" customHeight="1">
      <c r="B178" s="193" t="s">
        <v>622</v>
      </c>
      <c r="C178" s="193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</row>
    <row r="179" spans="2:31" ht="15.75" customHeight="1">
      <c r="B179" s="186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</row>
    <row r="180" spans="2:31" ht="15.75" customHeight="1">
      <c r="B180" s="193" t="s">
        <v>542</v>
      </c>
      <c r="C180" s="193"/>
      <c r="D180" s="193" t="s">
        <v>604</v>
      </c>
      <c r="E180" s="193"/>
      <c r="F180" s="193"/>
      <c r="G180" s="193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</row>
    <row r="181" spans="1:7" ht="17.25" customHeight="1">
      <c r="A181" s="268"/>
      <c r="B181" s="268"/>
      <c r="C181" s="268"/>
      <c r="D181" s="268"/>
      <c r="E181" s="268"/>
      <c r="F181" s="192"/>
      <c r="G181" s="192"/>
    </row>
    <row r="182" spans="1:8" ht="15.75">
      <c r="A182" s="689" t="s">
        <v>545</v>
      </c>
      <c r="B182" s="715" t="s">
        <v>1</v>
      </c>
      <c r="C182" s="715" t="s">
        <v>605</v>
      </c>
      <c r="D182" s="715" t="s">
        <v>606</v>
      </c>
      <c r="E182" s="716" t="s">
        <v>579</v>
      </c>
      <c r="F182" s="717"/>
      <c r="G182" s="718"/>
      <c r="H182" s="257"/>
    </row>
    <row r="183" spans="1:50" ht="48.75" customHeight="1">
      <c r="A183" s="690"/>
      <c r="B183" s="715"/>
      <c r="C183" s="715"/>
      <c r="D183" s="715"/>
      <c r="E183" s="270" t="s">
        <v>607</v>
      </c>
      <c r="F183" s="271" t="s">
        <v>557</v>
      </c>
      <c r="G183" s="236" t="s">
        <v>563</v>
      </c>
      <c r="H183" s="272"/>
      <c r="I183" s="273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192"/>
    </row>
    <row r="184" spans="1:50" ht="14.25" customHeight="1">
      <c r="A184" s="229">
        <v>1</v>
      </c>
      <c r="B184" s="274">
        <v>2</v>
      </c>
      <c r="C184" s="274">
        <v>3</v>
      </c>
      <c r="D184" s="274">
        <v>4</v>
      </c>
      <c r="E184" s="274">
        <v>5</v>
      </c>
      <c r="F184" s="230">
        <v>6</v>
      </c>
      <c r="G184" s="229">
        <v>7</v>
      </c>
      <c r="H184" s="231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192"/>
    </row>
    <row r="185" spans="1:50" ht="15.75">
      <c r="A185" s="200"/>
      <c r="B185" s="270"/>
      <c r="C185" s="275"/>
      <c r="D185" s="275"/>
      <c r="E185" s="275"/>
      <c r="F185" s="255"/>
      <c r="G185" s="275"/>
      <c r="H185" s="276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192"/>
    </row>
    <row r="186" spans="1:50" ht="15.75">
      <c r="A186" s="200"/>
      <c r="B186" s="270"/>
      <c r="C186" s="275"/>
      <c r="D186" s="275"/>
      <c r="E186" s="275"/>
      <c r="F186" s="255"/>
      <c r="G186" s="275"/>
      <c r="H186" s="276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192"/>
    </row>
    <row r="187" spans="1:50" ht="15.75">
      <c r="A187" s="709" t="s">
        <v>561</v>
      </c>
      <c r="B187" s="711"/>
      <c r="C187" s="275" t="s">
        <v>562</v>
      </c>
      <c r="D187" s="275" t="s">
        <v>562</v>
      </c>
      <c r="E187" s="275"/>
      <c r="F187" s="255"/>
      <c r="G187" s="275"/>
      <c r="H187" s="276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192"/>
    </row>
    <row r="188" spans="1:50" ht="15.75">
      <c r="A188" s="277"/>
      <c r="B188" s="277"/>
      <c r="C188" s="276"/>
      <c r="D188" s="276"/>
      <c r="E188" s="276"/>
      <c r="F188" s="276"/>
      <c r="G188" s="276"/>
      <c r="H188" s="276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192"/>
    </row>
    <row r="189" spans="1:50" ht="36" customHeight="1">
      <c r="A189" s="719" t="s">
        <v>623</v>
      </c>
      <c r="B189" s="719"/>
      <c r="C189" s="719"/>
      <c r="D189" s="719"/>
      <c r="E189" s="719"/>
      <c r="F189" s="719"/>
      <c r="G189" s="719"/>
      <c r="H189" s="719"/>
      <c r="I189" s="719"/>
      <c r="J189" s="719"/>
      <c r="K189" s="719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6"/>
      <c r="AP189" s="256"/>
      <c r="AQ189" s="256"/>
      <c r="AR189" s="256"/>
      <c r="AS189" s="256"/>
      <c r="AT189" s="256"/>
      <c r="AU189" s="256"/>
      <c r="AV189" s="256"/>
      <c r="AW189" s="256"/>
      <c r="AX189" s="192"/>
    </row>
    <row r="190" spans="2:11" ht="15.75">
      <c r="B190" s="186"/>
      <c r="I190" s="192"/>
      <c r="J190" s="278"/>
      <c r="K190" s="278"/>
    </row>
    <row r="191" spans="1:12" ht="15.75" customHeight="1">
      <c r="A191" s="720" t="s">
        <v>624</v>
      </c>
      <c r="B191" s="720"/>
      <c r="C191" s="720"/>
      <c r="D191" s="720"/>
      <c r="E191" s="720"/>
      <c r="F191" s="720"/>
      <c r="G191" s="720"/>
      <c r="H191" s="720"/>
      <c r="I191" s="720"/>
      <c r="J191" s="720"/>
      <c r="K191" s="720"/>
      <c r="L191" s="280"/>
    </row>
    <row r="192" spans="1:12" ht="15.75" customHeight="1">
      <c r="A192" s="279"/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80"/>
    </row>
    <row r="193" spans="2:31" ht="15.75" customHeight="1">
      <c r="B193" s="193" t="s">
        <v>622</v>
      </c>
      <c r="C193" s="193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</row>
    <row r="194" spans="2:31" ht="15.75" customHeight="1">
      <c r="B194" s="186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</row>
    <row r="195" spans="2:31" ht="15.75" customHeight="1">
      <c r="B195" s="193" t="s">
        <v>542</v>
      </c>
      <c r="C195" s="193"/>
      <c r="D195" s="193" t="s">
        <v>604</v>
      </c>
      <c r="E195" s="193"/>
      <c r="F195" s="193"/>
      <c r="G195" s="193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</row>
    <row r="196" spans="1:12" ht="15.75" customHeight="1">
      <c r="A196" s="224"/>
      <c r="B196" s="224"/>
      <c r="C196" s="224"/>
      <c r="D196" s="224"/>
      <c r="E196" s="224"/>
      <c r="F196" s="224"/>
      <c r="G196" s="280"/>
      <c r="H196" s="280"/>
      <c r="I196" s="280"/>
      <c r="J196" s="280"/>
      <c r="K196" s="280"/>
      <c r="L196" s="280"/>
    </row>
    <row r="197" spans="1:8" ht="15.75" customHeight="1">
      <c r="A197" s="689" t="s">
        <v>545</v>
      </c>
      <c r="B197" s="715" t="s">
        <v>1</v>
      </c>
      <c r="C197" s="715" t="s">
        <v>605</v>
      </c>
      <c r="D197" s="715" t="s">
        <v>606</v>
      </c>
      <c r="E197" s="716" t="s">
        <v>579</v>
      </c>
      <c r="F197" s="717"/>
      <c r="G197" s="718"/>
      <c r="H197" s="257"/>
    </row>
    <row r="198" spans="1:50" ht="47.25" customHeight="1">
      <c r="A198" s="690"/>
      <c r="B198" s="715"/>
      <c r="C198" s="715"/>
      <c r="D198" s="715"/>
      <c r="E198" s="270" t="s">
        <v>607</v>
      </c>
      <c r="F198" s="236" t="s">
        <v>557</v>
      </c>
      <c r="G198" s="236" t="s">
        <v>563</v>
      </c>
      <c r="H198" s="272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192"/>
    </row>
    <row r="199" spans="1:50" ht="12" customHeight="1">
      <c r="A199" s="281">
        <v>1</v>
      </c>
      <c r="B199" s="282">
        <v>2</v>
      </c>
      <c r="C199" s="282">
        <v>3</v>
      </c>
      <c r="D199" s="282">
        <v>4</v>
      </c>
      <c r="E199" s="274">
        <v>5</v>
      </c>
      <c r="F199" s="229">
        <v>6</v>
      </c>
      <c r="G199" s="229">
        <v>7</v>
      </c>
      <c r="H199" s="231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192"/>
    </row>
    <row r="200" spans="1:50" ht="15.75">
      <c r="A200" s="200"/>
      <c r="B200" s="196"/>
      <c r="C200" s="202"/>
      <c r="D200" s="202"/>
      <c r="E200" s="275"/>
      <c r="F200" s="275"/>
      <c r="G200" s="275"/>
      <c r="H200" s="276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192"/>
    </row>
    <row r="201" spans="1:50" ht="15.75">
      <c r="A201" s="200"/>
      <c r="B201" s="196"/>
      <c r="C201" s="202"/>
      <c r="D201" s="202"/>
      <c r="E201" s="275"/>
      <c r="F201" s="275"/>
      <c r="G201" s="275"/>
      <c r="H201" s="276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247"/>
      <c r="AR201" s="247"/>
      <c r="AS201" s="247"/>
      <c r="AT201" s="247"/>
      <c r="AU201" s="247"/>
      <c r="AV201" s="247"/>
      <c r="AW201" s="247"/>
      <c r="AX201" s="192"/>
    </row>
    <row r="202" spans="1:50" ht="15.75">
      <c r="A202" s="709" t="s">
        <v>561</v>
      </c>
      <c r="B202" s="711"/>
      <c r="C202" s="202" t="s">
        <v>562</v>
      </c>
      <c r="D202" s="202" t="s">
        <v>562</v>
      </c>
      <c r="E202" s="275"/>
      <c r="F202" s="275"/>
      <c r="G202" s="275"/>
      <c r="H202" s="276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192"/>
    </row>
    <row r="203" spans="1:50" ht="15.75">
      <c r="A203" s="237"/>
      <c r="B203" s="192"/>
      <c r="C203" s="237"/>
      <c r="D203" s="237"/>
      <c r="E203" s="237"/>
      <c r="F203" s="237"/>
      <c r="G203" s="192"/>
      <c r="H203" s="278"/>
      <c r="I203" s="278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</row>
    <row r="204" spans="1:50" ht="39" customHeight="1">
      <c r="A204" s="712" t="s">
        <v>625</v>
      </c>
      <c r="B204" s="712"/>
      <c r="C204" s="712"/>
      <c r="D204" s="712"/>
      <c r="E204" s="712"/>
      <c r="F204" s="712"/>
      <c r="G204" s="712"/>
      <c r="H204" s="712"/>
      <c r="I204" s="712"/>
      <c r="J204" s="712"/>
      <c r="K204" s="71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</row>
    <row r="205" spans="1:50" ht="15.75">
      <c r="A205" s="237"/>
      <c r="B205" s="192"/>
      <c r="C205" s="237"/>
      <c r="D205" s="237"/>
      <c r="E205" s="237"/>
      <c r="F205" s="237"/>
      <c r="G205" s="192"/>
      <c r="H205" s="278"/>
      <c r="I205" s="278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</row>
    <row r="206" spans="1:11" ht="15.75">
      <c r="A206" s="713" t="s">
        <v>626</v>
      </c>
      <c r="B206" s="713"/>
      <c r="C206" s="713"/>
      <c r="D206" s="713"/>
      <c r="E206" s="713"/>
      <c r="F206" s="713"/>
      <c r="G206" s="713"/>
      <c r="H206" s="713"/>
      <c r="I206" s="713"/>
      <c r="J206" s="713"/>
      <c r="K206" s="713"/>
    </row>
    <row r="207" spans="1:10" ht="15.75">
      <c r="A207" s="237"/>
      <c r="B207" s="192"/>
      <c r="C207" s="237"/>
      <c r="D207" s="237"/>
      <c r="E207" s="237"/>
      <c r="F207" s="237"/>
      <c r="G207" s="192"/>
      <c r="H207" s="278"/>
      <c r="I207" s="278"/>
      <c r="J207" s="192"/>
    </row>
    <row r="208" spans="2:31" ht="15.75" customHeight="1">
      <c r="B208" s="193" t="s">
        <v>627</v>
      </c>
      <c r="C208" s="193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</row>
    <row r="209" spans="2:31" ht="15.75" customHeight="1">
      <c r="B209" s="186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</row>
    <row r="210" spans="2:31" ht="15.75" customHeight="1">
      <c r="B210" s="193" t="s">
        <v>542</v>
      </c>
      <c r="C210" s="193"/>
      <c r="D210" s="193" t="s">
        <v>604</v>
      </c>
      <c r="E210" s="193"/>
      <c r="F210" s="193"/>
      <c r="G210" s="193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</row>
    <row r="211" spans="1:10" ht="15.75">
      <c r="A211" s="237"/>
      <c r="B211" s="192"/>
      <c r="C211" s="237"/>
      <c r="D211" s="237"/>
      <c r="E211" s="237"/>
      <c r="F211" s="237"/>
      <c r="G211" s="192"/>
      <c r="H211" s="278"/>
      <c r="I211" s="278"/>
      <c r="J211" s="192"/>
    </row>
    <row r="212" spans="1:10" ht="15.75">
      <c r="A212" s="237"/>
      <c r="B212" s="223" t="s">
        <v>628</v>
      </c>
      <c r="C212" s="237"/>
      <c r="D212" s="237"/>
      <c r="E212" s="237"/>
      <c r="F212" s="237"/>
      <c r="G212" s="192"/>
      <c r="H212" s="278"/>
      <c r="I212" s="278"/>
      <c r="J212" s="192"/>
    </row>
    <row r="213" spans="1:10" ht="15.75">
      <c r="A213" s="283"/>
      <c r="B213" s="283"/>
      <c r="C213" s="283"/>
      <c r="D213" s="283"/>
      <c r="E213" s="237"/>
      <c r="F213" s="237"/>
      <c r="G213" s="192"/>
      <c r="H213" s="278"/>
      <c r="I213" s="278"/>
      <c r="J213" s="192"/>
    </row>
    <row r="214" spans="1:36" ht="22.5" customHeight="1">
      <c r="A214" s="689" t="s">
        <v>545</v>
      </c>
      <c r="B214" s="715" t="s">
        <v>566</v>
      </c>
      <c r="C214" s="715" t="s">
        <v>629</v>
      </c>
      <c r="D214" s="715" t="s">
        <v>630</v>
      </c>
      <c r="E214" s="715" t="s">
        <v>631</v>
      </c>
      <c r="F214" s="716" t="s">
        <v>579</v>
      </c>
      <c r="G214" s="717"/>
      <c r="H214" s="718"/>
      <c r="I214" s="257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1:36" ht="56.25" customHeight="1">
      <c r="A215" s="690"/>
      <c r="B215" s="715"/>
      <c r="C215" s="715"/>
      <c r="D215" s="715"/>
      <c r="E215" s="715"/>
      <c r="F215" s="246" t="s">
        <v>632</v>
      </c>
      <c r="G215" s="225" t="s">
        <v>557</v>
      </c>
      <c r="H215" s="227" t="s">
        <v>563</v>
      </c>
      <c r="I215" s="272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192"/>
    </row>
    <row r="216" spans="1:36" ht="15.75">
      <c r="A216" s="201">
        <v>1</v>
      </c>
      <c r="B216" s="201">
        <v>2</v>
      </c>
      <c r="C216" s="201">
        <v>3</v>
      </c>
      <c r="D216" s="201">
        <v>4</v>
      </c>
      <c r="E216" s="201">
        <v>5</v>
      </c>
      <c r="F216" s="204">
        <v>6</v>
      </c>
      <c r="G216" s="230">
        <v>7</v>
      </c>
      <c r="H216" s="229">
        <v>8</v>
      </c>
      <c r="I216" s="231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192"/>
    </row>
    <row r="217" spans="1:36" ht="31.5">
      <c r="A217" s="238" t="s">
        <v>608</v>
      </c>
      <c r="B217" s="298" t="s">
        <v>633</v>
      </c>
      <c r="C217" s="286">
        <v>6</v>
      </c>
      <c r="D217" s="287">
        <v>11</v>
      </c>
      <c r="E217" s="288">
        <v>484.85</v>
      </c>
      <c r="F217" s="289">
        <f>SUM(G217:H217)</f>
        <v>56000.100000000006</v>
      </c>
      <c r="G217" s="289">
        <v>0</v>
      </c>
      <c r="H217" s="289">
        <f>C217*D217*E217+24000</f>
        <v>56000.100000000006</v>
      </c>
      <c r="I217" s="276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192"/>
    </row>
    <row r="218" spans="1:36" ht="31.5">
      <c r="A218" s="238" t="s">
        <v>588</v>
      </c>
      <c r="B218" s="298" t="s">
        <v>634</v>
      </c>
      <c r="C218" s="288" t="s">
        <v>562</v>
      </c>
      <c r="D218" s="288">
        <v>12</v>
      </c>
      <c r="E218" s="288">
        <v>6000</v>
      </c>
      <c r="F218" s="288">
        <f>G218+H218</f>
        <v>152250.49</v>
      </c>
      <c r="G218" s="288">
        <f>72000+2644.09</f>
        <v>74644.09</v>
      </c>
      <c r="H218" s="289">
        <v>77606.4</v>
      </c>
      <c r="I218" s="561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192"/>
    </row>
    <row r="219" spans="1:36" ht="15.75">
      <c r="A219" s="721" t="s">
        <v>635</v>
      </c>
      <c r="B219" s="722"/>
      <c r="C219" s="266" t="s">
        <v>562</v>
      </c>
      <c r="D219" s="266" t="s">
        <v>562</v>
      </c>
      <c r="E219" s="266" t="s">
        <v>562</v>
      </c>
      <c r="F219" s="290">
        <f>SUM(F217:F218)</f>
        <v>208250.59</v>
      </c>
      <c r="G219" s="291">
        <f>SUM(G217:G218)</f>
        <v>74644.09</v>
      </c>
      <c r="H219" s="292">
        <f>SUM(H217:H218)</f>
        <v>133606.5</v>
      </c>
      <c r="I219" s="276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93"/>
      <c r="W219" s="293"/>
      <c r="X219" s="293"/>
      <c r="Y219" s="293"/>
      <c r="Z219" s="293"/>
      <c r="AA219" s="293"/>
      <c r="AB219" s="293"/>
      <c r="AC219" s="293"/>
      <c r="AD219" s="293"/>
      <c r="AE219" s="293"/>
      <c r="AF219" s="293"/>
      <c r="AG219" s="293"/>
      <c r="AH219" s="293"/>
      <c r="AI219" s="293"/>
      <c r="AJ219" s="192"/>
    </row>
    <row r="220" spans="1:10" ht="15.75">
      <c r="A220" s="237"/>
      <c r="B220" s="192"/>
      <c r="C220" s="237"/>
      <c r="D220" s="237"/>
      <c r="E220" s="237"/>
      <c r="F220" s="237"/>
      <c r="G220" s="192"/>
      <c r="H220" s="278"/>
      <c r="I220" s="278"/>
      <c r="J220" s="192"/>
    </row>
    <row r="221" spans="1:10" ht="15.75" hidden="1">
      <c r="A221" s="237"/>
      <c r="B221" s="223" t="s">
        <v>857</v>
      </c>
      <c r="C221" s="237"/>
      <c r="D221" s="237"/>
      <c r="E221" s="237"/>
      <c r="F221" s="237"/>
      <c r="G221" s="192"/>
      <c r="H221" s="278"/>
      <c r="I221" s="278"/>
      <c r="J221" s="192"/>
    </row>
    <row r="222" spans="1:10" ht="15.75" hidden="1">
      <c r="A222" s="283"/>
      <c r="B222" s="283"/>
      <c r="C222" s="283"/>
      <c r="D222" s="283"/>
      <c r="E222" s="237"/>
      <c r="F222" s="237"/>
      <c r="G222" s="192"/>
      <c r="H222" s="278"/>
      <c r="I222" s="278"/>
      <c r="J222" s="192"/>
    </row>
    <row r="223" spans="1:36" ht="15.75" hidden="1">
      <c r="A223" s="689" t="s">
        <v>545</v>
      </c>
      <c r="B223" s="715" t="s">
        <v>566</v>
      </c>
      <c r="C223" s="715" t="s">
        <v>629</v>
      </c>
      <c r="D223" s="715" t="s">
        <v>630</v>
      </c>
      <c r="E223" s="715" t="s">
        <v>631</v>
      </c>
      <c r="F223" s="716" t="s">
        <v>579</v>
      </c>
      <c r="G223" s="717"/>
      <c r="H223" s="718"/>
      <c r="I223" s="257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1:36" ht="47.25" hidden="1">
      <c r="A224" s="690"/>
      <c r="B224" s="715"/>
      <c r="C224" s="715"/>
      <c r="D224" s="715"/>
      <c r="E224" s="715"/>
      <c r="F224" s="246" t="s">
        <v>632</v>
      </c>
      <c r="G224" s="225" t="s">
        <v>557</v>
      </c>
      <c r="H224" s="227" t="s">
        <v>563</v>
      </c>
      <c r="I224" s="272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192"/>
    </row>
    <row r="225" spans="1:36" ht="15.75" hidden="1">
      <c r="A225" s="201">
        <v>1</v>
      </c>
      <c r="B225" s="201">
        <v>2</v>
      </c>
      <c r="C225" s="201">
        <v>3</v>
      </c>
      <c r="D225" s="201">
        <v>4</v>
      </c>
      <c r="E225" s="201">
        <v>5</v>
      </c>
      <c r="F225" s="204">
        <v>6</v>
      </c>
      <c r="G225" s="230">
        <v>7</v>
      </c>
      <c r="H225" s="229">
        <v>8</v>
      </c>
      <c r="I225" s="231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192"/>
    </row>
    <row r="226" spans="1:36" ht="15.75" hidden="1">
      <c r="A226" s="238" t="s">
        <v>608</v>
      </c>
      <c r="B226" s="298" t="s">
        <v>316</v>
      </c>
      <c r="C226" s="215">
        <v>3</v>
      </c>
      <c r="D226" s="215">
        <v>12</v>
      </c>
      <c r="E226" s="370">
        <v>2000</v>
      </c>
      <c r="F226" s="519">
        <f>SUM(G226:H226)</f>
        <v>0</v>
      </c>
      <c r="G226" s="299"/>
      <c r="H226" s="265"/>
      <c r="I226" s="276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192"/>
    </row>
    <row r="227" spans="1:36" ht="15.75" hidden="1">
      <c r="A227" s="238" t="s">
        <v>588</v>
      </c>
      <c r="B227" s="298" t="s">
        <v>858</v>
      </c>
      <c r="C227" s="215">
        <v>2</v>
      </c>
      <c r="D227" s="215">
        <v>12</v>
      </c>
      <c r="E227" s="370">
        <v>1817.2</v>
      </c>
      <c r="F227" s="519">
        <f>SUM(G227:H227)</f>
        <v>0</v>
      </c>
      <c r="G227" s="299"/>
      <c r="H227" s="265"/>
      <c r="I227" s="276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192"/>
    </row>
    <row r="228" spans="1:36" ht="16.5" hidden="1">
      <c r="A228" s="723" t="s">
        <v>635</v>
      </c>
      <c r="B228" s="724"/>
      <c r="C228" s="215" t="s">
        <v>562</v>
      </c>
      <c r="D228" s="215" t="s">
        <v>562</v>
      </c>
      <c r="E228" s="370" t="s">
        <v>562</v>
      </c>
      <c r="F228" s="524">
        <f>SUM(F226:F227)</f>
        <v>0</v>
      </c>
      <c r="G228" s="524">
        <f>SUM(G226:G227)</f>
        <v>0</v>
      </c>
      <c r="H228" s="524">
        <f>SUM(H226:H227)</f>
        <v>0</v>
      </c>
      <c r="I228" s="276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93"/>
      <c r="W228" s="293"/>
      <c r="X228" s="293"/>
      <c r="Y228" s="293"/>
      <c r="Z228" s="293"/>
      <c r="AA228" s="293"/>
      <c r="AB228" s="293"/>
      <c r="AC228" s="293"/>
      <c r="AD228" s="293"/>
      <c r="AE228" s="293"/>
      <c r="AF228" s="293"/>
      <c r="AG228" s="293"/>
      <c r="AH228" s="293"/>
      <c r="AI228" s="293"/>
      <c r="AJ228" s="192"/>
    </row>
    <row r="229" spans="1:10" ht="15.75">
      <c r="A229" s="237"/>
      <c r="B229" s="192"/>
      <c r="C229" s="237"/>
      <c r="D229" s="237"/>
      <c r="E229" s="237"/>
      <c r="F229" s="237"/>
      <c r="G229" s="192"/>
      <c r="H229" s="278"/>
      <c r="I229" s="278"/>
      <c r="J229" s="192"/>
    </row>
    <row r="230" spans="1:11" ht="151.5" customHeight="1">
      <c r="A230" s="712" t="s">
        <v>636</v>
      </c>
      <c r="B230" s="712"/>
      <c r="C230" s="712"/>
      <c r="D230" s="712"/>
      <c r="E230" s="712"/>
      <c r="F230" s="712"/>
      <c r="G230" s="712"/>
      <c r="H230" s="712"/>
      <c r="I230" s="712"/>
      <c r="J230" s="712"/>
      <c r="K230" s="712"/>
    </row>
    <row r="231" spans="1:10" ht="15.75">
      <c r="A231" s="237"/>
      <c r="B231" s="192"/>
      <c r="C231" s="237"/>
      <c r="D231" s="237"/>
      <c r="E231" s="237"/>
      <c r="F231" s="237"/>
      <c r="G231" s="192"/>
      <c r="H231" s="278"/>
      <c r="I231" s="278"/>
      <c r="J231" s="192"/>
    </row>
    <row r="232" spans="1:10" ht="15.75">
      <c r="A232" s="283"/>
      <c r="B232" s="283" t="s">
        <v>637</v>
      </c>
      <c r="C232" s="283"/>
      <c r="D232" s="283"/>
      <c r="E232" s="283"/>
      <c r="F232" s="237"/>
      <c r="G232" s="192"/>
      <c r="H232" s="278"/>
      <c r="I232" s="278"/>
      <c r="J232" s="192"/>
    </row>
    <row r="233" spans="1:10" ht="15.75">
      <c r="A233" s="237"/>
      <c r="B233" s="192"/>
      <c r="C233" s="237"/>
      <c r="D233" s="237"/>
      <c r="E233" s="237"/>
      <c r="F233" s="237"/>
      <c r="G233" s="192"/>
      <c r="H233" s="278"/>
      <c r="I233" s="278"/>
      <c r="J233" s="192"/>
    </row>
    <row r="234" spans="1:10" ht="15.75">
      <c r="A234" s="689" t="s">
        <v>545</v>
      </c>
      <c r="B234" s="715" t="s">
        <v>566</v>
      </c>
      <c r="C234" s="715" t="s">
        <v>638</v>
      </c>
      <c r="D234" s="715" t="s">
        <v>639</v>
      </c>
      <c r="E234" s="716" t="s">
        <v>579</v>
      </c>
      <c r="F234" s="717"/>
      <c r="G234" s="718"/>
      <c r="H234" s="257"/>
      <c r="I234" s="278"/>
      <c r="J234" s="192"/>
    </row>
    <row r="235" spans="1:10" ht="31.5">
      <c r="A235" s="690"/>
      <c r="B235" s="715"/>
      <c r="C235" s="715"/>
      <c r="D235" s="715"/>
      <c r="E235" s="270" t="s">
        <v>640</v>
      </c>
      <c r="F235" s="271" t="s">
        <v>557</v>
      </c>
      <c r="G235" s="236" t="s">
        <v>563</v>
      </c>
      <c r="H235" s="272"/>
      <c r="I235" s="278"/>
      <c r="J235" s="192"/>
    </row>
    <row r="236" spans="1:10" ht="15.75">
      <c r="A236" s="281">
        <v>1</v>
      </c>
      <c r="B236" s="282">
        <v>2</v>
      </c>
      <c r="C236" s="282">
        <v>3</v>
      </c>
      <c r="D236" s="282">
        <v>4</v>
      </c>
      <c r="E236" s="274">
        <v>5</v>
      </c>
      <c r="F236" s="230">
        <v>6</v>
      </c>
      <c r="G236" s="229">
        <v>7</v>
      </c>
      <c r="H236" s="231"/>
      <c r="I236" s="278"/>
      <c r="J236" s="192"/>
    </row>
    <row r="237" spans="1:10" ht="15.75">
      <c r="A237" s="200"/>
      <c r="B237" s="196"/>
      <c r="C237" s="202"/>
      <c r="D237" s="202"/>
      <c r="E237" s="275"/>
      <c r="F237" s="255"/>
      <c r="G237" s="275"/>
      <c r="H237" s="276"/>
      <c r="I237" s="278"/>
      <c r="J237" s="192"/>
    </row>
    <row r="238" spans="1:10" ht="15.75">
      <c r="A238" s="200"/>
      <c r="B238" s="196"/>
      <c r="C238" s="202"/>
      <c r="D238" s="202"/>
      <c r="E238" s="275"/>
      <c r="F238" s="255"/>
      <c r="G238" s="275"/>
      <c r="H238" s="276"/>
      <c r="I238" s="278"/>
      <c r="J238" s="192"/>
    </row>
    <row r="239" spans="1:10" ht="15.75">
      <c r="A239" s="709" t="s">
        <v>561</v>
      </c>
      <c r="B239" s="711"/>
      <c r="C239" s="202" t="s">
        <v>562</v>
      </c>
      <c r="D239" s="202" t="s">
        <v>562</v>
      </c>
      <c r="E239" s="275"/>
      <c r="F239" s="255"/>
      <c r="G239" s="275"/>
      <c r="H239" s="276"/>
      <c r="I239" s="278"/>
      <c r="J239" s="192"/>
    </row>
    <row r="240" spans="1:10" ht="15.75">
      <c r="A240" s="237"/>
      <c r="B240" s="192"/>
      <c r="C240" s="237"/>
      <c r="D240" s="237"/>
      <c r="E240" s="237"/>
      <c r="F240" s="237"/>
      <c r="G240" s="192"/>
      <c r="H240" s="278"/>
      <c r="I240" s="278"/>
      <c r="J240" s="192"/>
    </row>
    <row r="241" spans="1:11" ht="36" customHeight="1">
      <c r="A241" s="725" t="s">
        <v>641</v>
      </c>
      <c r="B241" s="725"/>
      <c r="C241" s="725"/>
      <c r="D241" s="725"/>
      <c r="E241" s="725"/>
      <c r="F241" s="725"/>
      <c r="G241" s="725"/>
      <c r="H241" s="725"/>
      <c r="I241" s="725"/>
      <c r="J241" s="725"/>
      <c r="K241" s="725"/>
    </row>
    <row r="242" spans="1:10" ht="15.75">
      <c r="A242" s="237"/>
      <c r="B242" s="192"/>
      <c r="C242" s="237"/>
      <c r="D242" s="237"/>
      <c r="E242" s="237"/>
      <c r="F242" s="237"/>
      <c r="G242" s="192"/>
      <c r="H242" s="278"/>
      <c r="I242" s="278"/>
      <c r="J242" s="192"/>
    </row>
    <row r="243" spans="1:10" ht="15.75">
      <c r="A243" s="283"/>
      <c r="B243" s="283" t="s">
        <v>642</v>
      </c>
      <c r="C243" s="283"/>
      <c r="D243" s="283"/>
      <c r="E243" s="283"/>
      <c r="F243" s="283"/>
      <c r="G243" s="192"/>
      <c r="H243" s="278"/>
      <c r="I243" s="278"/>
      <c r="J243" s="192"/>
    </row>
    <row r="244" spans="1:10" ht="15.75">
      <c r="A244" s="237"/>
      <c r="B244" s="192"/>
      <c r="C244" s="237"/>
      <c r="D244" s="237"/>
      <c r="E244" s="237"/>
      <c r="F244" s="237"/>
      <c r="G244" s="192"/>
      <c r="H244" s="278"/>
      <c r="I244" s="278"/>
      <c r="J244" s="192"/>
    </row>
    <row r="245" spans="1:10" ht="15.75" customHeight="1">
      <c r="A245" s="689" t="s">
        <v>545</v>
      </c>
      <c r="B245" s="715" t="s">
        <v>1</v>
      </c>
      <c r="C245" s="715" t="s">
        <v>643</v>
      </c>
      <c r="D245" s="715" t="s">
        <v>644</v>
      </c>
      <c r="E245" s="715" t="s">
        <v>645</v>
      </c>
      <c r="F245" s="716" t="s">
        <v>579</v>
      </c>
      <c r="G245" s="717"/>
      <c r="H245" s="718"/>
      <c r="I245" s="257"/>
      <c r="J245" s="192"/>
    </row>
    <row r="246" spans="1:10" ht="47.25">
      <c r="A246" s="690"/>
      <c r="B246" s="715"/>
      <c r="C246" s="715"/>
      <c r="D246" s="715"/>
      <c r="E246" s="715"/>
      <c r="F246" s="269" t="s">
        <v>632</v>
      </c>
      <c r="G246" s="236" t="s">
        <v>557</v>
      </c>
      <c r="H246" s="236" t="s">
        <v>563</v>
      </c>
      <c r="I246" s="272"/>
      <c r="J246" s="192"/>
    </row>
    <row r="247" spans="1:10" ht="15.75">
      <c r="A247" s="201">
        <v>1</v>
      </c>
      <c r="B247" s="201">
        <v>2</v>
      </c>
      <c r="C247" s="201">
        <v>3</v>
      </c>
      <c r="D247" s="201">
        <v>4</v>
      </c>
      <c r="E247" s="201">
        <v>5</v>
      </c>
      <c r="F247" s="204">
        <v>6</v>
      </c>
      <c r="G247" s="229">
        <v>7</v>
      </c>
      <c r="H247" s="229">
        <v>8</v>
      </c>
      <c r="I247" s="231"/>
      <c r="J247" s="192"/>
    </row>
    <row r="248" spans="1:10" ht="15.75">
      <c r="A248" s="294" t="s">
        <v>608</v>
      </c>
      <c r="B248" s="295" t="s">
        <v>646</v>
      </c>
      <c r="C248" s="296">
        <f>675.25-5</f>
        <v>670.25</v>
      </c>
      <c r="D248" s="296">
        <v>1860.27</v>
      </c>
      <c r="E248" s="296">
        <v>0</v>
      </c>
      <c r="F248" s="297">
        <f>SUM(G248:H248)</f>
        <v>2015750.16</v>
      </c>
      <c r="G248" s="297">
        <v>0</v>
      </c>
      <c r="H248" s="265">
        <f>'раздел 3 (табл.2,3,4)'!I187+'раздел 3 (табл.2,3,4)'!I191</f>
        <v>2015750.16</v>
      </c>
      <c r="I248" s="276"/>
      <c r="J248" s="192"/>
    </row>
    <row r="249" spans="1:10" ht="15.75">
      <c r="A249" s="294" t="s">
        <v>588</v>
      </c>
      <c r="B249" s="298" t="s">
        <v>647</v>
      </c>
      <c r="C249" s="299">
        <f>97108-22684</f>
        <v>74424</v>
      </c>
      <c r="D249" s="299">
        <v>6.32</v>
      </c>
      <c r="E249" s="296">
        <v>0</v>
      </c>
      <c r="F249" s="297">
        <f>SUM(G249:H249)</f>
        <v>808583.6799999999</v>
      </c>
      <c r="G249" s="265"/>
      <c r="H249" s="265">
        <f>'раздел 3 (табл.2,3,4)'!I189+'раздел 3 (табл.2,3,4)'!I193</f>
        <v>808583.6799999999</v>
      </c>
      <c r="I249" s="276"/>
      <c r="J249" s="192"/>
    </row>
    <row r="250" spans="1:10" ht="31.5">
      <c r="A250" s="294" t="s">
        <v>599</v>
      </c>
      <c r="B250" s="298" t="s">
        <v>648</v>
      </c>
      <c r="C250" s="299">
        <v>3054</v>
      </c>
      <c r="D250" s="299">
        <v>40.98</v>
      </c>
      <c r="E250" s="296">
        <v>0</v>
      </c>
      <c r="F250" s="297">
        <f>SUM(G250:H250)</f>
        <v>269152.92</v>
      </c>
      <c r="G250" s="265"/>
      <c r="H250" s="265">
        <f>'раздел 3 (табл.2,3,4)'!I190+'раздел 3 (табл.2,3,4)'!I195</f>
        <v>269152.92</v>
      </c>
      <c r="I250" s="276"/>
      <c r="J250" s="192"/>
    </row>
    <row r="251" spans="1:10" ht="18.75">
      <c r="A251" s="726" t="s">
        <v>635</v>
      </c>
      <c r="B251" s="727"/>
      <c r="C251" s="300" t="s">
        <v>562</v>
      </c>
      <c r="D251" s="300" t="s">
        <v>562</v>
      </c>
      <c r="E251" s="300" t="s">
        <v>562</v>
      </c>
      <c r="F251" s="301">
        <f>SUM(F248:F250)</f>
        <v>3093486.76</v>
      </c>
      <c r="G251" s="301">
        <f>SUM(G248:G250)</f>
        <v>0</v>
      </c>
      <c r="H251" s="301">
        <f>SUM(H248:H250)</f>
        <v>3093486.76</v>
      </c>
      <c r="I251" s="276"/>
      <c r="J251" s="192"/>
    </row>
    <row r="252" spans="1:10" ht="15.75">
      <c r="A252" s="237"/>
      <c r="B252" s="192"/>
      <c r="C252" s="237"/>
      <c r="D252" s="237"/>
      <c r="E252" s="237"/>
      <c r="F252" s="237"/>
      <c r="G252" s="192"/>
      <c r="H252" s="278"/>
      <c r="I252" s="278"/>
      <c r="J252" s="192"/>
    </row>
    <row r="253" spans="1:10" ht="15.75" hidden="1">
      <c r="A253" s="283"/>
      <c r="B253" s="283" t="s">
        <v>859</v>
      </c>
      <c r="C253" s="283"/>
      <c r="D253" s="283"/>
      <c r="E253" s="283"/>
      <c r="F253" s="283"/>
      <c r="G253" s="192"/>
      <c r="H253" s="278"/>
      <c r="I253" s="278"/>
      <c r="J253" s="192"/>
    </row>
    <row r="254" spans="1:10" ht="15.75" hidden="1">
      <c r="A254" s="237"/>
      <c r="B254" s="192"/>
      <c r="C254" s="237"/>
      <c r="D254" s="237"/>
      <c r="E254" s="237"/>
      <c r="F254" s="237"/>
      <c r="G254" s="192"/>
      <c r="H254" s="278"/>
      <c r="I254" s="278"/>
      <c r="J254" s="192"/>
    </row>
    <row r="255" spans="1:10" ht="15.75" hidden="1">
      <c r="A255" s="689" t="s">
        <v>545</v>
      </c>
      <c r="B255" s="715" t="s">
        <v>1</v>
      </c>
      <c r="C255" s="715" t="s">
        <v>643</v>
      </c>
      <c r="D255" s="715" t="s">
        <v>644</v>
      </c>
      <c r="E255" s="715" t="s">
        <v>645</v>
      </c>
      <c r="F255" s="716" t="s">
        <v>579</v>
      </c>
      <c r="G255" s="717"/>
      <c r="H255" s="718"/>
      <c r="I255" s="257"/>
      <c r="J255" s="192"/>
    </row>
    <row r="256" spans="1:10" ht="47.25" hidden="1">
      <c r="A256" s="690"/>
      <c r="B256" s="715"/>
      <c r="C256" s="715"/>
      <c r="D256" s="715"/>
      <c r="E256" s="715"/>
      <c r="F256" s="269" t="s">
        <v>632</v>
      </c>
      <c r="G256" s="236" t="s">
        <v>557</v>
      </c>
      <c r="H256" s="236" t="s">
        <v>563</v>
      </c>
      <c r="I256" s="272"/>
      <c r="J256" s="192"/>
    </row>
    <row r="257" spans="1:10" ht="15.75" hidden="1">
      <c r="A257" s="201">
        <v>1</v>
      </c>
      <c r="B257" s="201">
        <v>2</v>
      </c>
      <c r="C257" s="201">
        <v>3</v>
      </c>
      <c r="D257" s="201">
        <v>4</v>
      </c>
      <c r="E257" s="201">
        <v>5</v>
      </c>
      <c r="F257" s="204">
        <v>6</v>
      </c>
      <c r="G257" s="229">
        <v>7</v>
      </c>
      <c r="H257" s="229">
        <v>8</v>
      </c>
      <c r="I257" s="231"/>
      <c r="J257" s="192"/>
    </row>
    <row r="258" spans="1:10" ht="15.75" hidden="1">
      <c r="A258" s="238" t="s">
        <v>608</v>
      </c>
      <c r="B258" s="298" t="s">
        <v>860</v>
      </c>
      <c r="C258" s="215"/>
      <c r="D258" s="215"/>
      <c r="E258" s="215"/>
      <c r="F258" s="519">
        <f>SUM(G258:H258)</f>
        <v>0</v>
      </c>
      <c r="G258" s="265">
        <v>0</v>
      </c>
      <c r="H258" s="265"/>
      <c r="I258" s="276"/>
      <c r="J258" s="192"/>
    </row>
    <row r="259" spans="1:10" ht="15.75" hidden="1">
      <c r="A259" s="238" t="s">
        <v>588</v>
      </c>
      <c r="B259" s="298" t="s">
        <v>861</v>
      </c>
      <c r="C259" s="215"/>
      <c r="D259" s="215"/>
      <c r="E259" s="215"/>
      <c r="F259" s="519">
        <f>SUM(G259:H259)</f>
        <v>0</v>
      </c>
      <c r="G259" s="265">
        <v>0</v>
      </c>
      <c r="H259" s="265"/>
      <c r="I259" s="276"/>
      <c r="J259" s="192"/>
    </row>
    <row r="260" spans="1:10" ht="31.5" hidden="1">
      <c r="A260" s="238" t="s">
        <v>599</v>
      </c>
      <c r="B260" s="298" t="s">
        <v>862</v>
      </c>
      <c r="C260" s="215"/>
      <c r="D260" s="215"/>
      <c r="E260" s="215"/>
      <c r="F260" s="519">
        <f>SUM(G260:H260)</f>
        <v>0</v>
      </c>
      <c r="G260" s="265">
        <v>0</v>
      </c>
      <c r="H260" s="265"/>
      <c r="I260" s="276"/>
      <c r="J260" s="192"/>
    </row>
    <row r="261" spans="1:10" ht="16.5" hidden="1">
      <c r="A261" s="723" t="s">
        <v>635</v>
      </c>
      <c r="B261" s="724"/>
      <c r="C261" s="215" t="s">
        <v>562</v>
      </c>
      <c r="D261" s="215" t="s">
        <v>562</v>
      </c>
      <c r="E261" s="215" t="s">
        <v>562</v>
      </c>
      <c r="F261" s="524">
        <f>SUM(F258:F260)</f>
        <v>0</v>
      </c>
      <c r="G261" s="524">
        <f>SUM(G258:G260)</f>
        <v>0</v>
      </c>
      <c r="H261" s="524">
        <f>SUM(H258:H260)</f>
        <v>0</v>
      </c>
      <c r="I261" s="276"/>
      <c r="J261" s="192"/>
    </row>
    <row r="262" spans="1:10" ht="15.75">
      <c r="A262" s="237"/>
      <c r="B262" s="192"/>
      <c r="C262" s="237"/>
      <c r="D262" s="237"/>
      <c r="E262" s="237"/>
      <c r="F262" s="237"/>
      <c r="G262" s="192"/>
      <c r="H262" s="278"/>
      <c r="I262" s="278"/>
      <c r="J262" s="192"/>
    </row>
    <row r="263" spans="1:11" ht="66.75" customHeight="1">
      <c r="A263" s="712" t="s">
        <v>649</v>
      </c>
      <c r="B263" s="725"/>
      <c r="C263" s="725"/>
      <c r="D263" s="725"/>
      <c r="E263" s="725"/>
      <c r="F263" s="725"/>
      <c r="G263" s="725"/>
      <c r="H263" s="725"/>
      <c r="I263" s="725"/>
      <c r="J263" s="725"/>
      <c r="K263" s="725"/>
    </row>
    <row r="264" spans="1:10" ht="15.75">
      <c r="A264" s="237"/>
      <c r="B264" s="192"/>
      <c r="C264" s="237"/>
      <c r="D264" s="237"/>
      <c r="E264" s="237"/>
      <c r="F264" s="237"/>
      <c r="G264" s="192"/>
      <c r="H264" s="278"/>
      <c r="I264" s="278"/>
      <c r="J264" s="192"/>
    </row>
    <row r="265" spans="1:10" ht="15.75">
      <c r="A265" s="283"/>
      <c r="B265" s="283" t="s">
        <v>650</v>
      </c>
      <c r="C265" s="283"/>
      <c r="D265" s="283"/>
      <c r="E265" s="283"/>
      <c r="F265" s="237"/>
      <c r="G265" s="192"/>
      <c r="H265" s="278"/>
      <c r="I265" s="278"/>
      <c r="J265" s="192"/>
    </row>
    <row r="266" spans="1:10" ht="15.75">
      <c r="A266" s="237"/>
      <c r="B266" s="192"/>
      <c r="C266" s="237"/>
      <c r="D266" s="237"/>
      <c r="E266" s="237"/>
      <c r="F266" s="237"/>
      <c r="G266" s="192"/>
      <c r="H266" s="278"/>
      <c r="I266" s="278"/>
      <c r="J266" s="192"/>
    </row>
    <row r="267" spans="1:10" ht="15.75">
      <c r="A267" s="689" t="s">
        <v>545</v>
      </c>
      <c r="B267" s="715" t="s">
        <v>1</v>
      </c>
      <c r="C267" s="715" t="s">
        <v>651</v>
      </c>
      <c r="D267" s="715" t="s">
        <v>652</v>
      </c>
      <c r="E267" s="716" t="s">
        <v>579</v>
      </c>
      <c r="F267" s="717"/>
      <c r="G267" s="718"/>
      <c r="H267" s="257"/>
      <c r="I267" s="278"/>
      <c r="J267" s="192"/>
    </row>
    <row r="268" spans="1:10" ht="47.25">
      <c r="A268" s="690"/>
      <c r="B268" s="715"/>
      <c r="C268" s="715"/>
      <c r="D268" s="715"/>
      <c r="E268" s="270" t="s">
        <v>653</v>
      </c>
      <c r="F268" s="271" t="s">
        <v>557</v>
      </c>
      <c r="G268" s="236" t="s">
        <v>563</v>
      </c>
      <c r="H268" s="272"/>
      <c r="I268" s="278"/>
      <c r="J268" s="192"/>
    </row>
    <row r="269" spans="1:10" ht="15.75">
      <c r="A269" s="281">
        <v>1</v>
      </c>
      <c r="B269" s="282">
        <v>2</v>
      </c>
      <c r="C269" s="282">
        <v>3</v>
      </c>
      <c r="D269" s="282">
        <v>4</v>
      </c>
      <c r="E269" s="274">
        <v>5</v>
      </c>
      <c r="F269" s="230">
        <v>5</v>
      </c>
      <c r="G269" s="229">
        <v>6</v>
      </c>
      <c r="H269" s="231"/>
      <c r="I269" s="278"/>
      <c r="J269" s="192"/>
    </row>
    <row r="270" spans="1:10" ht="15.75">
      <c r="A270" s="200"/>
      <c r="B270" s="196"/>
      <c r="C270" s="202"/>
      <c r="D270" s="202"/>
      <c r="E270" s="275"/>
      <c r="F270" s="255"/>
      <c r="G270" s="275"/>
      <c r="H270" s="276"/>
      <c r="I270" s="278"/>
      <c r="J270" s="192"/>
    </row>
    <row r="271" spans="1:10" ht="15.75">
      <c r="A271" s="200"/>
      <c r="B271" s="196"/>
      <c r="C271" s="202"/>
      <c r="D271" s="202"/>
      <c r="E271" s="275"/>
      <c r="F271" s="255"/>
      <c r="G271" s="275"/>
      <c r="H271" s="276"/>
      <c r="I271" s="278"/>
      <c r="J271" s="192"/>
    </row>
    <row r="272" spans="1:10" ht="15.75">
      <c r="A272" s="709" t="s">
        <v>561</v>
      </c>
      <c r="B272" s="711"/>
      <c r="C272" s="202" t="s">
        <v>562</v>
      </c>
      <c r="D272" s="202" t="s">
        <v>562</v>
      </c>
      <c r="E272" s="275" t="s">
        <v>562</v>
      </c>
      <c r="F272" s="255"/>
      <c r="G272" s="275"/>
      <c r="H272" s="276"/>
      <c r="I272" s="278"/>
      <c r="J272" s="192"/>
    </row>
    <row r="273" spans="1:10" ht="15.75">
      <c r="A273" s="237"/>
      <c r="B273" s="192"/>
      <c r="C273" s="237"/>
      <c r="D273" s="237"/>
      <c r="E273" s="237"/>
      <c r="F273" s="237"/>
      <c r="G273" s="192"/>
      <c r="H273" s="278"/>
      <c r="I273" s="278"/>
      <c r="J273" s="192"/>
    </row>
    <row r="274" spans="1:11" ht="48" customHeight="1">
      <c r="A274" s="728" t="s">
        <v>654</v>
      </c>
      <c r="B274" s="728"/>
      <c r="C274" s="728"/>
      <c r="D274" s="728"/>
      <c r="E274" s="728"/>
      <c r="F274" s="728"/>
      <c r="G274" s="728"/>
      <c r="H274" s="728"/>
      <c r="I274" s="728"/>
      <c r="J274" s="728"/>
      <c r="K274" s="728"/>
    </row>
    <row r="275" spans="1:10" ht="15.75">
      <c r="A275" s="237"/>
      <c r="B275" s="192"/>
      <c r="C275" s="237"/>
      <c r="D275" s="237"/>
      <c r="E275" s="237"/>
      <c r="F275" s="237"/>
      <c r="G275" s="192"/>
      <c r="H275" s="278"/>
      <c r="I275" s="278"/>
      <c r="J275" s="192"/>
    </row>
    <row r="276" spans="1:10" ht="15.75">
      <c r="A276" s="283"/>
      <c r="B276" s="283" t="s">
        <v>655</v>
      </c>
      <c r="C276" s="283"/>
      <c r="D276" s="283"/>
      <c r="E276" s="283"/>
      <c r="F276" s="283"/>
      <c r="G276" s="192"/>
      <c r="H276" s="278"/>
      <c r="I276" s="278"/>
      <c r="J276" s="192"/>
    </row>
    <row r="277" spans="1:10" ht="15.75">
      <c r="A277" s="237"/>
      <c r="B277" s="192"/>
      <c r="C277" s="237"/>
      <c r="D277" s="237"/>
      <c r="E277" s="237"/>
      <c r="F277" s="237"/>
      <c r="G277" s="192"/>
      <c r="H277" s="278"/>
      <c r="I277" s="278"/>
      <c r="J277" s="192"/>
    </row>
    <row r="278" spans="1:10" ht="15.75">
      <c r="A278" s="689" t="s">
        <v>545</v>
      </c>
      <c r="B278" s="715" t="s">
        <v>566</v>
      </c>
      <c r="C278" s="715" t="s">
        <v>656</v>
      </c>
      <c r="D278" s="715" t="s">
        <v>657</v>
      </c>
      <c r="E278" s="716" t="s">
        <v>579</v>
      </c>
      <c r="F278" s="717"/>
      <c r="G278" s="718"/>
      <c r="H278" s="257"/>
      <c r="I278" s="278"/>
      <c r="J278" s="192"/>
    </row>
    <row r="279" spans="1:10" ht="47.25">
      <c r="A279" s="690"/>
      <c r="B279" s="715"/>
      <c r="C279" s="715"/>
      <c r="D279" s="715"/>
      <c r="E279" s="270" t="s">
        <v>658</v>
      </c>
      <c r="F279" s="271" t="s">
        <v>557</v>
      </c>
      <c r="G279" s="236" t="s">
        <v>563</v>
      </c>
      <c r="H279" s="272"/>
      <c r="I279" s="278"/>
      <c r="J279" s="192"/>
    </row>
    <row r="280" spans="1:10" ht="15.75">
      <c r="A280" s="281">
        <v>1</v>
      </c>
      <c r="B280" s="282">
        <v>2</v>
      </c>
      <c r="C280" s="282">
        <v>3</v>
      </c>
      <c r="D280" s="282">
        <v>4</v>
      </c>
      <c r="E280" s="274">
        <v>5</v>
      </c>
      <c r="F280" s="230">
        <v>5</v>
      </c>
      <c r="G280" s="229">
        <v>6</v>
      </c>
      <c r="H280" s="231"/>
      <c r="I280" s="278"/>
      <c r="J280" s="192"/>
    </row>
    <row r="281" spans="1:10" ht="15.75">
      <c r="A281" s="281">
        <v>1</v>
      </c>
      <c r="B281" s="302" t="s">
        <v>659</v>
      </c>
      <c r="C281" s="282" t="s">
        <v>660</v>
      </c>
      <c r="D281" s="303">
        <v>24</v>
      </c>
      <c r="E281" s="304">
        <f>SUM(F281:G281)</f>
        <v>35098.29</v>
      </c>
      <c r="F281" s="304">
        <v>0</v>
      </c>
      <c r="G281" s="304">
        <v>35098.29</v>
      </c>
      <c r="H281" s="231"/>
      <c r="I281" s="278"/>
      <c r="J281" s="192"/>
    </row>
    <row r="282" spans="1:10" ht="15.75">
      <c r="A282" s="281">
        <v>2</v>
      </c>
      <c r="B282" s="302" t="s">
        <v>661</v>
      </c>
      <c r="C282" s="282" t="s">
        <v>660</v>
      </c>
      <c r="D282" s="303">
        <v>3117.73</v>
      </c>
      <c r="E282" s="304">
        <f aca="true" t="shared" si="0" ref="E282:E292">SUM(F282:G282)</f>
        <v>33342.32</v>
      </c>
      <c r="F282" s="304">
        <v>0</v>
      </c>
      <c r="G282" s="304">
        <v>33342.32</v>
      </c>
      <c r="H282" s="231"/>
      <c r="I282" s="278"/>
      <c r="J282" s="192"/>
    </row>
    <row r="283" spans="1:10" ht="31.5">
      <c r="A283" s="281">
        <v>3</v>
      </c>
      <c r="B283" s="302" t="s">
        <v>662</v>
      </c>
      <c r="C283" s="282" t="s">
        <v>660</v>
      </c>
      <c r="D283" s="303">
        <v>12</v>
      </c>
      <c r="E283" s="304">
        <f t="shared" si="0"/>
        <v>99600</v>
      </c>
      <c r="F283" s="304">
        <v>0</v>
      </c>
      <c r="G283" s="304">
        <v>99600</v>
      </c>
      <c r="H283" s="231"/>
      <c r="I283" s="278"/>
      <c r="J283" s="192"/>
    </row>
    <row r="284" spans="1:10" ht="31.5">
      <c r="A284" s="281">
        <v>4</v>
      </c>
      <c r="B284" s="302" t="s">
        <v>662</v>
      </c>
      <c r="C284" s="282" t="s">
        <v>660</v>
      </c>
      <c r="D284" s="303">
        <v>12</v>
      </c>
      <c r="E284" s="304">
        <f t="shared" si="0"/>
        <v>34800</v>
      </c>
      <c r="F284" s="304">
        <v>0</v>
      </c>
      <c r="G284" s="304">
        <v>34800</v>
      </c>
      <c r="H284" s="231"/>
      <c r="I284" s="278"/>
      <c r="J284" s="192"/>
    </row>
    <row r="285" spans="1:10" ht="15.75">
      <c r="A285" s="281">
        <v>5</v>
      </c>
      <c r="B285" s="302" t="s">
        <v>663</v>
      </c>
      <c r="C285" s="282" t="s">
        <v>660</v>
      </c>
      <c r="D285" s="303">
        <v>12</v>
      </c>
      <c r="E285" s="304">
        <f t="shared" si="0"/>
        <v>653000</v>
      </c>
      <c r="F285" s="304">
        <v>0</v>
      </c>
      <c r="G285" s="304">
        <f>363000+290000</f>
        <v>653000</v>
      </c>
      <c r="H285" s="231"/>
      <c r="I285" s="278"/>
      <c r="J285" s="192"/>
    </row>
    <row r="286" spans="1:10" ht="31.5">
      <c r="A286" s="281">
        <v>6</v>
      </c>
      <c r="B286" s="302" t="s">
        <v>664</v>
      </c>
      <c r="C286" s="282" t="s">
        <v>660</v>
      </c>
      <c r="D286" s="303">
        <v>12</v>
      </c>
      <c r="E286" s="304">
        <f t="shared" si="0"/>
        <v>335972.86</v>
      </c>
      <c r="F286" s="304">
        <f>134297.86-1352-5176</f>
        <v>127769.85999999999</v>
      </c>
      <c r="G286" s="304">
        <v>208203</v>
      </c>
      <c r="H286" s="231"/>
      <c r="I286" s="278"/>
      <c r="J286" s="192"/>
    </row>
    <row r="287" spans="1:10" ht="15.75">
      <c r="A287" s="281">
        <v>7</v>
      </c>
      <c r="B287" s="302" t="s">
        <v>665</v>
      </c>
      <c r="C287" s="282" t="s">
        <v>660</v>
      </c>
      <c r="D287" s="303">
        <v>1</v>
      </c>
      <c r="E287" s="304">
        <f t="shared" si="0"/>
        <v>11000</v>
      </c>
      <c r="F287" s="304">
        <v>0</v>
      </c>
      <c r="G287" s="304">
        <v>11000</v>
      </c>
      <c r="H287" s="231"/>
      <c r="I287" s="278"/>
      <c r="J287" s="192"/>
    </row>
    <row r="288" spans="1:10" ht="15.75">
      <c r="A288" s="281">
        <v>8</v>
      </c>
      <c r="B288" s="302" t="s">
        <v>666</v>
      </c>
      <c r="C288" s="282" t="s">
        <v>660</v>
      </c>
      <c r="D288" s="303">
        <v>1</v>
      </c>
      <c r="E288" s="304">
        <f t="shared" si="0"/>
        <v>31000</v>
      </c>
      <c r="F288" s="304">
        <v>0</v>
      </c>
      <c r="G288" s="304">
        <v>31000</v>
      </c>
      <c r="H288" s="231"/>
      <c r="I288" s="278"/>
      <c r="J288" s="192"/>
    </row>
    <row r="289" spans="1:10" ht="15.75">
      <c r="A289" s="281">
        <v>9</v>
      </c>
      <c r="B289" s="302" t="s">
        <v>667</v>
      </c>
      <c r="C289" s="282" t="s">
        <v>660</v>
      </c>
      <c r="D289" s="303">
        <v>12</v>
      </c>
      <c r="E289" s="304">
        <f t="shared" si="0"/>
        <v>18000</v>
      </c>
      <c r="F289" s="304">
        <v>0</v>
      </c>
      <c r="G289" s="304">
        <v>18000</v>
      </c>
      <c r="H289" s="231"/>
      <c r="I289" s="278"/>
      <c r="J289" s="192"/>
    </row>
    <row r="290" spans="1:10" ht="15.75">
      <c r="A290" s="281">
        <v>10</v>
      </c>
      <c r="B290" s="302" t="s">
        <v>668</v>
      </c>
      <c r="C290" s="282" t="s">
        <v>660</v>
      </c>
      <c r="D290" s="303">
        <v>1</v>
      </c>
      <c r="E290" s="304">
        <f t="shared" si="0"/>
        <v>60000</v>
      </c>
      <c r="F290" s="304">
        <v>0</v>
      </c>
      <c r="G290" s="304">
        <v>60000</v>
      </c>
      <c r="H290" s="231"/>
      <c r="I290" s="278"/>
      <c r="J290" s="192"/>
    </row>
    <row r="291" spans="1:10" ht="31.5">
      <c r="A291" s="281">
        <v>11</v>
      </c>
      <c r="B291" s="302" t="s">
        <v>669</v>
      </c>
      <c r="C291" s="282" t="s">
        <v>660</v>
      </c>
      <c r="D291" s="303">
        <v>6</v>
      </c>
      <c r="E291" s="304">
        <f t="shared" si="0"/>
        <v>556474.4</v>
      </c>
      <c r="F291" s="304">
        <v>0</v>
      </c>
      <c r="G291" s="304">
        <f>866282.74-7296.84-2948.67+153338.31-62576.47-62960.41-300000-23614.26-3750</f>
        <v>556474.4</v>
      </c>
      <c r="H291" s="231"/>
      <c r="I291" s="278"/>
      <c r="J291" s="192"/>
    </row>
    <row r="292" spans="1:10" ht="15.75">
      <c r="A292" s="281">
        <v>12</v>
      </c>
      <c r="B292" s="302" t="s">
        <v>670</v>
      </c>
      <c r="C292" s="282" t="s">
        <v>660</v>
      </c>
      <c r="D292" s="303">
        <v>4</v>
      </c>
      <c r="E292" s="304">
        <f t="shared" si="0"/>
        <v>70000</v>
      </c>
      <c r="F292" s="304">
        <v>0</v>
      </c>
      <c r="G292" s="304">
        <v>70000</v>
      </c>
      <c r="H292" s="231"/>
      <c r="I292" s="278"/>
      <c r="J292" s="192"/>
    </row>
    <row r="293" spans="1:10" ht="31.5">
      <c r="A293" s="550">
        <v>13</v>
      </c>
      <c r="B293" s="302" t="s">
        <v>864</v>
      </c>
      <c r="C293" s="530" t="s">
        <v>865</v>
      </c>
      <c r="D293" s="531">
        <v>12</v>
      </c>
      <c r="E293" s="304">
        <f>SUM(F293:G293)</f>
        <v>11599.68</v>
      </c>
      <c r="F293" s="304">
        <v>0</v>
      </c>
      <c r="G293" s="555">
        <v>11599.68</v>
      </c>
      <c r="H293" s="231"/>
      <c r="I293" s="278"/>
      <c r="J293" s="192"/>
    </row>
    <row r="294" spans="1:10" ht="63">
      <c r="A294" s="550">
        <v>14</v>
      </c>
      <c r="B294" s="302" t="s">
        <v>866</v>
      </c>
      <c r="C294" s="530" t="s">
        <v>867</v>
      </c>
      <c r="D294" s="531">
        <v>12</v>
      </c>
      <c r="E294" s="304">
        <f aca="true" t="shared" si="1" ref="E294:E307">SUM(F294:G294)</f>
        <v>24000</v>
      </c>
      <c r="F294" s="304">
        <v>0</v>
      </c>
      <c r="G294" s="555">
        <v>24000</v>
      </c>
      <c r="H294" s="231"/>
      <c r="I294" s="278"/>
      <c r="J294" s="192"/>
    </row>
    <row r="295" spans="1:10" ht="31.5">
      <c r="A295" s="550">
        <v>15</v>
      </c>
      <c r="B295" s="302" t="s">
        <v>868</v>
      </c>
      <c r="C295" s="530" t="s">
        <v>869</v>
      </c>
      <c r="D295" s="531">
        <v>12</v>
      </c>
      <c r="E295" s="304">
        <f t="shared" si="1"/>
        <v>39600</v>
      </c>
      <c r="F295" s="304">
        <v>0</v>
      </c>
      <c r="G295" s="555">
        <v>39600</v>
      </c>
      <c r="H295" s="231"/>
      <c r="I295" s="278"/>
      <c r="J295" s="192"/>
    </row>
    <row r="296" spans="1:10" ht="78.75">
      <c r="A296" s="550">
        <v>16</v>
      </c>
      <c r="B296" s="302" t="s">
        <v>870</v>
      </c>
      <c r="C296" s="530" t="s">
        <v>871</v>
      </c>
      <c r="D296" s="531">
        <v>12</v>
      </c>
      <c r="E296" s="304">
        <f t="shared" si="1"/>
        <v>96000</v>
      </c>
      <c r="F296" s="304">
        <v>0</v>
      </c>
      <c r="G296" s="555">
        <v>96000</v>
      </c>
      <c r="H296" s="231"/>
      <c r="I296" s="278"/>
      <c r="J296" s="192"/>
    </row>
    <row r="297" spans="1:10" ht="63">
      <c r="A297" s="550">
        <v>17</v>
      </c>
      <c r="B297" s="302" t="s">
        <v>872</v>
      </c>
      <c r="C297" s="530" t="s">
        <v>873</v>
      </c>
      <c r="D297" s="531">
        <v>4</v>
      </c>
      <c r="E297" s="304">
        <f t="shared" si="1"/>
        <v>4800</v>
      </c>
      <c r="F297" s="304">
        <v>0</v>
      </c>
      <c r="G297" s="555">
        <v>4800</v>
      </c>
      <c r="H297" s="231"/>
      <c r="I297" s="278"/>
      <c r="J297" s="192"/>
    </row>
    <row r="298" spans="1:10" ht="15.75">
      <c r="A298" s="550">
        <v>18</v>
      </c>
      <c r="B298" s="302" t="s">
        <v>874</v>
      </c>
      <c r="C298" s="530" t="s">
        <v>875</v>
      </c>
      <c r="D298" s="531">
        <v>12</v>
      </c>
      <c r="E298" s="304">
        <f t="shared" si="1"/>
        <v>37200</v>
      </c>
      <c r="F298" s="304">
        <v>0</v>
      </c>
      <c r="G298" s="555">
        <v>37200</v>
      </c>
      <c r="H298" s="231"/>
      <c r="I298" s="278"/>
      <c r="J298" s="192"/>
    </row>
    <row r="299" spans="1:10" ht="78.75">
      <c r="A299" s="550">
        <v>19</v>
      </c>
      <c r="B299" s="302" t="s">
        <v>876</v>
      </c>
      <c r="C299" s="513" t="s">
        <v>877</v>
      </c>
      <c r="D299" s="203">
        <v>12</v>
      </c>
      <c r="E299" s="304">
        <f t="shared" si="1"/>
        <v>14400</v>
      </c>
      <c r="F299" s="304">
        <v>0</v>
      </c>
      <c r="G299" s="555">
        <v>14400</v>
      </c>
      <c r="H299" s="231"/>
      <c r="I299" s="278"/>
      <c r="J299" s="192"/>
    </row>
    <row r="300" spans="1:10" ht="25.5">
      <c r="A300" s="550">
        <v>20</v>
      </c>
      <c r="B300" s="302" t="s">
        <v>878</v>
      </c>
      <c r="C300" s="513" t="s">
        <v>879</v>
      </c>
      <c r="D300" s="203">
        <v>7</v>
      </c>
      <c r="E300" s="304">
        <f t="shared" si="1"/>
        <v>19000</v>
      </c>
      <c r="F300" s="304">
        <v>0</v>
      </c>
      <c r="G300" s="555">
        <v>19000</v>
      </c>
      <c r="H300" s="231"/>
      <c r="I300" s="278"/>
      <c r="J300" s="192"/>
    </row>
    <row r="301" spans="1:10" ht="78.75">
      <c r="A301" s="550">
        <v>21</v>
      </c>
      <c r="B301" s="302" t="s">
        <v>880</v>
      </c>
      <c r="C301" s="513" t="s">
        <v>881</v>
      </c>
      <c r="D301" s="203">
        <v>12</v>
      </c>
      <c r="E301" s="304">
        <f t="shared" si="1"/>
        <v>87699</v>
      </c>
      <c r="F301" s="304">
        <v>0</v>
      </c>
      <c r="G301" s="555">
        <v>87699</v>
      </c>
      <c r="H301" s="231"/>
      <c r="I301" s="278"/>
      <c r="J301" s="192"/>
    </row>
    <row r="302" spans="1:10" ht="63">
      <c r="A302" s="550">
        <v>22</v>
      </c>
      <c r="B302" s="302" t="s">
        <v>882</v>
      </c>
      <c r="C302" s="513" t="s">
        <v>883</v>
      </c>
      <c r="D302" s="203">
        <v>12</v>
      </c>
      <c r="E302" s="304">
        <f t="shared" si="1"/>
        <v>4989.6</v>
      </c>
      <c r="F302" s="304">
        <v>0</v>
      </c>
      <c r="G302" s="555">
        <v>4989.6</v>
      </c>
      <c r="H302" s="231"/>
      <c r="I302" s="278"/>
      <c r="J302" s="192"/>
    </row>
    <row r="303" spans="1:10" ht="25.5">
      <c r="A303" s="550">
        <v>23</v>
      </c>
      <c r="B303" s="302" t="s">
        <v>884</v>
      </c>
      <c r="C303" s="513" t="s">
        <v>885</v>
      </c>
      <c r="D303" s="203">
        <v>12</v>
      </c>
      <c r="E303" s="304">
        <f t="shared" si="1"/>
        <v>70800</v>
      </c>
      <c r="F303" s="304">
        <v>0</v>
      </c>
      <c r="G303" s="555">
        <v>70800</v>
      </c>
      <c r="H303" s="231"/>
      <c r="I303" s="278"/>
      <c r="J303" s="192"/>
    </row>
    <row r="304" spans="1:10" ht="15.75">
      <c r="A304" s="550">
        <v>24</v>
      </c>
      <c r="B304" s="302" t="s">
        <v>886</v>
      </c>
      <c r="C304" s="513" t="s">
        <v>887</v>
      </c>
      <c r="D304" s="203">
        <v>1</v>
      </c>
      <c r="E304" s="304">
        <f t="shared" si="1"/>
        <v>20000</v>
      </c>
      <c r="F304" s="304">
        <v>0</v>
      </c>
      <c r="G304" s="555">
        <v>20000</v>
      </c>
      <c r="H304" s="231"/>
      <c r="I304" s="278"/>
      <c r="J304" s="192"/>
    </row>
    <row r="305" spans="1:10" ht="31.5">
      <c r="A305" s="550">
        <v>25</v>
      </c>
      <c r="B305" s="302" t="s">
        <v>888</v>
      </c>
      <c r="C305" s="513"/>
      <c r="D305" s="203">
        <v>1</v>
      </c>
      <c r="E305" s="304">
        <f t="shared" si="1"/>
        <v>25000</v>
      </c>
      <c r="F305" s="304">
        <v>0</v>
      </c>
      <c r="G305" s="555">
        <v>25000</v>
      </c>
      <c r="H305" s="231"/>
      <c r="I305" s="278"/>
      <c r="J305" s="192"/>
    </row>
    <row r="306" spans="1:10" ht="15.75">
      <c r="A306" s="550">
        <v>26</v>
      </c>
      <c r="B306" s="302" t="s">
        <v>889</v>
      </c>
      <c r="C306" s="513"/>
      <c r="D306" s="203">
        <v>1</v>
      </c>
      <c r="E306" s="304">
        <f t="shared" si="1"/>
        <v>50012.93</v>
      </c>
      <c r="F306" s="304">
        <v>0</v>
      </c>
      <c r="G306" s="555">
        <f>52000-1987.07</f>
        <v>50012.93</v>
      </c>
      <c r="H306" s="231"/>
      <c r="I306" s="278"/>
      <c r="J306" s="192"/>
    </row>
    <row r="307" spans="1:10" ht="15.75">
      <c r="A307" s="550">
        <v>27</v>
      </c>
      <c r="B307" s="302" t="s">
        <v>890</v>
      </c>
      <c r="C307" s="513"/>
      <c r="D307" s="203">
        <v>1</v>
      </c>
      <c r="E307" s="304">
        <f t="shared" si="1"/>
        <v>8373.61</v>
      </c>
      <c r="F307" s="304">
        <v>0</v>
      </c>
      <c r="G307" s="555">
        <v>8373.61</v>
      </c>
      <c r="H307" s="231"/>
      <c r="I307" s="278"/>
      <c r="J307" s="192"/>
    </row>
    <row r="308" spans="1:10" ht="15.75">
      <c r="A308" s="550"/>
      <c r="B308" s="551"/>
      <c r="C308" s="282"/>
      <c r="D308" s="544"/>
      <c r="E308" s="304"/>
      <c r="F308" s="332"/>
      <c r="G308" s="304"/>
      <c r="H308" s="231"/>
      <c r="I308" s="278"/>
      <c r="J308" s="192"/>
    </row>
    <row r="309" spans="1:10" ht="15.75">
      <c r="A309" s="550"/>
      <c r="B309" s="551"/>
      <c r="C309" s="282"/>
      <c r="D309" s="544"/>
      <c r="E309" s="304"/>
      <c r="F309" s="332"/>
      <c r="G309" s="304"/>
      <c r="H309" s="231"/>
      <c r="I309" s="278"/>
      <c r="J309" s="192"/>
    </row>
    <row r="310" spans="1:10" ht="15.75">
      <c r="A310" s="550"/>
      <c r="B310" s="551"/>
      <c r="C310" s="282"/>
      <c r="D310" s="544"/>
      <c r="E310" s="304"/>
      <c r="F310" s="332"/>
      <c r="G310" s="304"/>
      <c r="H310" s="231"/>
      <c r="I310" s="278"/>
      <c r="J310" s="192"/>
    </row>
    <row r="311" spans="1:10" ht="18.75">
      <c r="A311" s="726" t="s">
        <v>561</v>
      </c>
      <c r="B311" s="727"/>
      <c r="C311" s="305" t="s">
        <v>562</v>
      </c>
      <c r="D311" s="305" t="s">
        <v>562</v>
      </c>
      <c r="E311" s="306">
        <f>SUM(E281:E307)</f>
        <v>2451762.69</v>
      </c>
      <c r="F311" s="307">
        <f>SUM(F281:F307)</f>
        <v>127769.85999999999</v>
      </c>
      <c r="G311" s="306">
        <f>SUM(G281:G307)</f>
        <v>2323992.8299999996</v>
      </c>
      <c r="H311" s="231"/>
      <c r="I311" s="278"/>
      <c r="J311" s="192"/>
    </row>
    <row r="312" spans="1:10" ht="18.75">
      <c r="A312" s="400"/>
      <c r="B312" s="401"/>
      <c r="C312" s="402"/>
      <c r="D312" s="402"/>
      <c r="E312" s="306"/>
      <c r="F312" s="307"/>
      <c r="G312" s="306"/>
      <c r="H312" s="231"/>
      <c r="I312" s="278"/>
      <c r="J312" s="192"/>
    </row>
    <row r="313" spans="1:10" ht="15.75">
      <c r="A313" s="281">
        <v>11</v>
      </c>
      <c r="B313" s="302" t="s">
        <v>749</v>
      </c>
      <c r="C313" s="282" t="s">
        <v>660</v>
      </c>
      <c r="D313" s="303">
        <v>6</v>
      </c>
      <c r="E313" s="304">
        <f>SUM(F313:G313)</f>
        <v>962846.06</v>
      </c>
      <c r="F313" s="304">
        <v>0</v>
      </c>
      <c r="G313" s="304">
        <f>300000+662846.06</f>
        <v>962846.06</v>
      </c>
      <c r="H313" s="231"/>
      <c r="I313" s="278"/>
      <c r="J313" s="192"/>
    </row>
    <row r="314" spans="1:10" ht="18.75">
      <c r="A314" s="726" t="s">
        <v>561</v>
      </c>
      <c r="B314" s="727"/>
      <c r="C314" s="305" t="s">
        <v>562</v>
      </c>
      <c r="D314" s="305" t="s">
        <v>562</v>
      </c>
      <c r="E314" s="306">
        <f>SUM(E313)</f>
        <v>962846.06</v>
      </c>
      <c r="F314" s="307">
        <f>SUM(F313)</f>
        <v>0</v>
      </c>
      <c r="G314" s="306">
        <f>SUM(G313)</f>
        <v>962846.06</v>
      </c>
      <c r="H314" s="231"/>
      <c r="I314" s="278"/>
      <c r="J314" s="192"/>
    </row>
    <row r="315" spans="1:10" ht="18.75">
      <c r="A315" s="527"/>
      <c r="B315" s="527"/>
      <c r="C315" s="528"/>
      <c r="D315" s="528"/>
      <c r="E315" s="529"/>
      <c r="F315" s="529"/>
      <c r="G315" s="529"/>
      <c r="H315" s="231"/>
      <c r="I315" s="278"/>
      <c r="J315" s="192"/>
    </row>
    <row r="316" spans="1:10" ht="15.75" hidden="1">
      <c r="A316" s="283"/>
      <c r="B316" s="283" t="s">
        <v>863</v>
      </c>
      <c r="C316" s="283"/>
      <c r="D316" s="283"/>
      <c r="E316" s="283"/>
      <c r="F316" s="283"/>
      <c r="G316" s="192"/>
      <c r="H316" s="278"/>
      <c r="I316" s="278"/>
      <c r="J316" s="192"/>
    </row>
    <row r="317" spans="1:10" ht="15.75" hidden="1">
      <c r="A317" s="237"/>
      <c r="B317" s="192"/>
      <c r="C317" s="237"/>
      <c r="D317" s="237"/>
      <c r="E317" s="237"/>
      <c r="F317" s="237"/>
      <c r="G317" s="192"/>
      <c r="H317" s="278"/>
      <c r="I317" s="278"/>
      <c r="J317" s="192"/>
    </row>
    <row r="318" spans="1:10" ht="15.75" hidden="1">
      <c r="A318" s="689" t="s">
        <v>545</v>
      </c>
      <c r="B318" s="715" t="s">
        <v>566</v>
      </c>
      <c r="C318" s="715" t="s">
        <v>656</v>
      </c>
      <c r="D318" s="715" t="s">
        <v>657</v>
      </c>
      <c r="E318" s="716" t="s">
        <v>579</v>
      </c>
      <c r="F318" s="717"/>
      <c r="G318" s="718"/>
      <c r="H318" s="257"/>
      <c r="I318" s="278"/>
      <c r="J318" s="192"/>
    </row>
    <row r="319" spans="1:10" ht="47.25" hidden="1">
      <c r="A319" s="690"/>
      <c r="B319" s="715"/>
      <c r="C319" s="715"/>
      <c r="D319" s="715"/>
      <c r="E319" s="270" t="s">
        <v>658</v>
      </c>
      <c r="F319" s="271" t="s">
        <v>557</v>
      </c>
      <c r="G319" s="236" t="s">
        <v>563</v>
      </c>
      <c r="H319" s="272"/>
      <c r="I319" s="278"/>
      <c r="J319" s="192"/>
    </row>
    <row r="320" spans="1:10" ht="15.75" hidden="1">
      <c r="A320" s="281">
        <v>1</v>
      </c>
      <c r="B320" s="282">
        <v>2</v>
      </c>
      <c r="C320" s="282">
        <v>3</v>
      </c>
      <c r="D320" s="282">
        <v>4</v>
      </c>
      <c r="E320" s="274">
        <v>5</v>
      </c>
      <c r="F320" s="230">
        <v>5</v>
      </c>
      <c r="G320" s="229">
        <v>6</v>
      </c>
      <c r="H320" s="231"/>
      <c r="I320" s="278"/>
      <c r="J320" s="192"/>
    </row>
    <row r="321" spans="1:10" ht="31.5" hidden="1">
      <c r="A321" s="281">
        <v>1</v>
      </c>
      <c r="B321" s="302" t="s">
        <v>864</v>
      </c>
      <c r="C321" s="530" t="s">
        <v>865</v>
      </c>
      <c r="D321" s="531">
        <v>12</v>
      </c>
      <c r="E321" s="304">
        <f>SUM(F321:G321)</f>
        <v>0</v>
      </c>
      <c r="F321" s="304">
        <v>0</v>
      </c>
      <c r="G321" s="304"/>
      <c r="H321" s="231"/>
      <c r="I321" s="278"/>
      <c r="J321" s="192"/>
    </row>
    <row r="322" spans="1:10" ht="63" hidden="1">
      <c r="A322" s="281">
        <v>2</v>
      </c>
      <c r="B322" s="302" t="s">
        <v>866</v>
      </c>
      <c r="C322" s="530" t="s">
        <v>867</v>
      </c>
      <c r="D322" s="531">
        <v>12</v>
      </c>
      <c r="E322" s="304">
        <f aca="true" t="shared" si="2" ref="E322:E335">SUM(F322:G322)</f>
        <v>0</v>
      </c>
      <c r="F322" s="304">
        <v>0</v>
      </c>
      <c r="G322" s="304"/>
      <c r="H322" s="231"/>
      <c r="I322" s="278"/>
      <c r="J322" s="192"/>
    </row>
    <row r="323" spans="1:10" ht="31.5" hidden="1">
      <c r="A323" s="281">
        <v>3</v>
      </c>
      <c r="B323" s="302" t="s">
        <v>868</v>
      </c>
      <c r="C323" s="530" t="s">
        <v>869</v>
      </c>
      <c r="D323" s="531">
        <v>12</v>
      </c>
      <c r="E323" s="304">
        <f t="shared" si="2"/>
        <v>0</v>
      </c>
      <c r="F323" s="304">
        <v>0</v>
      </c>
      <c r="G323" s="304"/>
      <c r="H323" s="231"/>
      <c r="I323" s="278"/>
      <c r="J323" s="192"/>
    </row>
    <row r="324" spans="1:10" ht="78.75" hidden="1">
      <c r="A324" s="281">
        <v>4</v>
      </c>
      <c r="B324" s="302" t="s">
        <v>870</v>
      </c>
      <c r="C324" s="530" t="s">
        <v>871</v>
      </c>
      <c r="D324" s="531">
        <v>12</v>
      </c>
      <c r="E324" s="304">
        <f t="shared" si="2"/>
        <v>0</v>
      </c>
      <c r="F324" s="304">
        <v>0</v>
      </c>
      <c r="G324" s="304"/>
      <c r="H324" s="231"/>
      <c r="I324" s="278"/>
      <c r="J324" s="192"/>
    </row>
    <row r="325" spans="1:10" ht="63" hidden="1">
      <c r="A325" s="281">
        <v>5</v>
      </c>
      <c r="B325" s="302" t="s">
        <v>872</v>
      </c>
      <c r="C325" s="530" t="s">
        <v>873</v>
      </c>
      <c r="D325" s="531">
        <v>4</v>
      </c>
      <c r="E325" s="304">
        <f t="shared" si="2"/>
        <v>0</v>
      </c>
      <c r="F325" s="304">
        <v>0</v>
      </c>
      <c r="G325" s="304"/>
      <c r="H325" s="231"/>
      <c r="I325" s="278"/>
      <c r="J325" s="192"/>
    </row>
    <row r="326" spans="1:10" ht="15.75" hidden="1">
      <c r="A326" s="281">
        <v>6</v>
      </c>
      <c r="B326" s="302" t="s">
        <v>874</v>
      </c>
      <c r="C326" s="530" t="s">
        <v>875</v>
      </c>
      <c r="D326" s="531">
        <v>12</v>
      </c>
      <c r="E326" s="304">
        <f t="shared" si="2"/>
        <v>0</v>
      </c>
      <c r="F326" s="304">
        <v>0</v>
      </c>
      <c r="G326" s="304"/>
      <c r="H326" s="231"/>
      <c r="I326" s="278"/>
      <c r="J326" s="192"/>
    </row>
    <row r="327" spans="1:10" ht="78.75" hidden="1">
      <c r="A327" s="229">
        <v>7</v>
      </c>
      <c r="B327" s="302" t="s">
        <v>876</v>
      </c>
      <c r="C327" s="513" t="s">
        <v>877</v>
      </c>
      <c r="D327" s="203">
        <v>12</v>
      </c>
      <c r="E327" s="304">
        <f t="shared" si="2"/>
        <v>0</v>
      </c>
      <c r="F327" s="304">
        <v>0</v>
      </c>
      <c r="G327" s="304"/>
      <c r="H327" s="231"/>
      <c r="I327" s="278"/>
      <c r="J327" s="192"/>
    </row>
    <row r="328" spans="1:10" ht="25.5" hidden="1">
      <c r="A328" s="229">
        <v>8</v>
      </c>
      <c r="B328" s="302" t="s">
        <v>878</v>
      </c>
      <c r="C328" s="513" t="s">
        <v>879</v>
      </c>
      <c r="D328" s="203">
        <v>7</v>
      </c>
      <c r="E328" s="304">
        <f t="shared" si="2"/>
        <v>0</v>
      </c>
      <c r="F328" s="304">
        <v>0</v>
      </c>
      <c r="G328" s="304"/>
      <c r="H328" s="231"/>
      <c r="I328" s="278"/>
      <c r="J328" s="192"/>
    </row>
    <row r="329" spans="1:10" ht="78.75" hidden="1">
      <c r="A329" s="229">
        <v>9</v>
      </c>
      <c r="B329" s="302" t="s">
        <v>880</v>
      </c>
      <c r="C329" s="513" t="s">
        <v>881</v>
      </c>
      <c r="D329" s="203">
        <v>12</v>
      </c>
      <c r="E329" s="304">
        <f t="shared" si="2"/>
        <v>0</v>
      </c>
      <c r="F329" s="304">
        <v>0</v>
      </c>
      <c r="G329" s="304"/>
      <c r="H329" s="231"/>
      <c r="I329" s="278"/>
      <c r="J329" s="192"/>
    </row>
    <row r="330" spans="1:10" ht="63" hidden="1">
      <c r="A330" s="229">
        <v>10</v>
      </c>
      <c r="B330" s="302" t="s">
        <v>882</v>
      </c>
      <c r="C330" s="513" t="s">
        <v>883</v>
      </c>
      <c r="D330" s="203">
        <v>12</v>
      </c>
      <c r="E330" s="304">
        <f t="shared" si="2"/>
        <v>0</v>
      </c>
      <c r="F330" s="304">
        <v>0</v>
      </c>
      <c r="G330" s="304"/>
      <c r="H330" s="231"/>
      <c r="I330" s="278"/>
      <c r="J330" s="192"/>
    </row>
    <row r="331" spans="1:10" ht="25.5" hidden="1">
      <c r="A331" s="229">
        <v>11</v>
      </c>
      <c r="B331" s="302" t="s">
        <v>884</v>
      </c>
      <c r="C331" s="513" t="s">
        <v>885</v>
      </c>
      <c r="D331" s="203">
        <v>12</v>
      </c>
      <c r="E331" s="304">
        <f t="shared" si="2"/>
        <v>0</v>
      </c>
      <c r="F331" s="304">
        <v>0</v>
      </c>
      <c r="G331" s="304"/>
      <c r="H331" s="231"/>
      <c r="I331" s="278"/>
      <c r="J331" s="192"/>
    </row>
    <row r="332" spans="1:10" ht="15.75" hidden="1">
      <c r="A332" s="229">
        <v>12</v>
      </c>
      <c r="B332" s="302" t="s">
        <v>886</v>
      </c>
      <c r="C332" s="513" t="s">
        <v>887</v>
      </c>
      <c r="D332" s="203">
        <v>1</v>
      </c>
      <c r="E332" s="304">
        <f t="shared" si="2"/>
        <v>0</v>
      </c>
      <c r="F332" s="304">
        <v>0</v>
      </c>
      <c r="G332" s="304"/>
      <c r="H332" s="231"/>
      <c r="I332" s="278"/>
      <c r="J332" s="192"/>
    </row>
    <row r="333" spans="1:10" ht="31.5" hidden="1">
      <c r="A333" s="229">
        <v>13</v>
      </c>
      <c r="B333" s="302" t="s">
        <v>888</v>
      </c>
      <c r="C333" s="513"/>
      <c r="D333" s="203">
        <v>1</v>
      </c>
      <c r="E333" s="304">
        <f t="shared" si="2"/>
        <v>0</v>
      </c>
      <c r="F333" s="304">
        <v>0</v>
      </c>
      <c r="G333" s="304"/>
      <c r="H333" s="231"/>
      <c r="I333" s="278"/>
      <c r="J333" s="192"/>
    </row>
    <row r="334" spans="1:10" ht="15.75" hidden="1">
      <c r="A334" s="200">
        <v>14</v>
      </c>
      <c r="B334" s="302" t="s">
        <v>889</v>
      </c>
      <c r="C334" s="513"/>
      <c r="D334" s="203">
        <v>1</v>
      </c>
      <c r="E334" s="304">
        <f t="shared" si="2"/>
        <v>0</v>
      </c>
      <c r="F334" s="304">
        <v>0</v>
      </c>
      <c r="G334" s="304"/>
      <c r="H334" s="276"/>
      <c r="I334" s="278"/>
      <c r="J334" s="192"/>
    </row>
    <row r="335" spans="1:10" ht="15.75" hidden="1">
      <c r="A335" s="200">
        <v>15</v>
      </c>
      <c r="B335" s="302" t="s">
        <v>890</v>
      </c>
      <c r="C335" s="513"/>
      <c r="D335" s="203">
        <v>1</v>
      </c>
      <c r="E335" s="304">
        <f t="shared" si="2"/>
        <v>0</v>
      </c>
      <c r="F335" s="304">
        <v>0</v>
      </c>
      <c r="G335" s="304"/>
      <c r="H335" s="276"/>
      <c r="I335" s="278"/>
      <c r="J335" s="192"/>
    </row>
    <row r="336" spans="1:10" ht="16.5" hidden="1">
      <c r="A336" s="709" t="s">
        <v>561</v>
      </c>
      <c r="B336" s="711"/>
      <c r="C336" s="202" t="s">
        <v>562</v>
      </c>
      <c r="D336" s="202" t="s">
        <v>562</v>
      </c>
      <c r="E336" s="524">
        <f>SUM(E321:E335)</f>
        <v>0</v>
      </c>
      <c r="F336" s="524">
        <f>SUM(F321:F335)</f>
        <v>0</v>
      </c>
      <c r="G336" s="524">
        <f>SUM(G321:G335)</f>
        <v>0</v>
      </c>
      <c r="H336" s="276"/>
      <c r="I336" s="278"/>
      <c r="J336" s="192"/>
    </row>
    <row r="337" spans="1:10" ht="18.75">
      <c r="A337" s="527"/>
      <c r="B337" s="527"/>
      <c r="C337" s="528"/>
      <c r="D337" s="528"/>
      <c r="E337" s="529"/>
      <c r="F337" s="529"/>
      <c r="G337" s="529"/>
      <c r="H337" s="231"/>
      <c r="I337" s="278"/>
      <c r="J337" s="192"/>
    </row>
    <row r="338" spans="1:11" ht="53.25" customHeight="1">
      <c r="A338" s="712" t="s">
        <v>671</v>
      </c>
      <c r="B338" s="712"/>
      <c r="C338" s="712"/>
      <c r="D338" s="712"/>
      <c r="E338" s="712"/>
      <c r="F338" s="712"/>
      <c r="G338" s="712"/>
      <c r="H338" s="712"/>
      <c r="I338" s="712"/>
      <c r="J338" s="712"/>
      <c r="K338" s="712"/>
    </row>
    <row r="339" spans="1:10" ht="15.75">
      <c r="A339" s="237"/>
      <c r="B339" s="192"/>
      <c r="C339" s="237"/>
      <c r="D339" s="237"/>
      <c r="E339" s="237"/>
      <c r="F339" s="237"/>
      <c r="G339" s="192"/>
      <c r="H339" s="278"/>
      <c r="I339" s="278"/>
      <c r="J339" s="192"/>
    </row>
    <row r="340" spans="1:10" ht="15.75">
      <c r="A340" s="283"/>
      <c r="B340" s="283" t="s">
        <v>672</v>
      </c>
      <c r="C340" s="283"/>
      <c r="D340" s="283"/>
      <c r="E340" s="283"/>
      <c r="F340" s="237"/>
      <c r="G340" s="192"/>
      <c r="H340" s="278"/>
      <c r="I340" s="278"/>
      <c r="J340" s="192"/>
    </row>
    <row r="341" spans="1:10" ht="15.75">
      <c r="A341" s="237"/>
      <c r="B341" s="192"/>
      <c r="C341" s="237"/>
      <c r="D341" s="237"/>
      <c r="E341" s="237"/>
      <c r="F341" s="237"/>
      <c r="G341" s="192"/>
      <c r="H341" s="278"/>
      <c r="I341" s="278"/>
      <c r="J341" s="192"/>
    </row>
    <row r="342" spans="1:10" ht="15.75">
      <c r="A342" s="689" t="s">
        <v>545</v>
      </c>
      <c r="B342" s="715" t="s">
        <v>1</v>
      </c>
      <c r="C342" s="715" t="s">
        <v>673</v>
      </c>
      <c r="D342" s="716" t="s">
        <v>579</v>
      </c>
      <c r="E342" s="717"/>
      <c r="F342" s="718"/>
      <c r="G342" s="257"/>
      <c r="H342" s="278"/>
      <c r="I342" s="278"/>
      <c r="J342" s="192"/>
    </row>
    <row r="343" spans="1:10" ht="31.5">
      <c r="A343" s="690"/>
      <c r="B343" s="715"/>
      <c r="C343" s="715"/>
      <c r="D343" s="270" t="s">
        <v>674</v>
      </c>
      <c r="E343" s="236" t="s">
        <v>557</v>
      </c>
      <c r="F343" s="236" t="s">
        <v>563</v>
      </c>
      <c r="G343" s="272"/>
      <c r="H343" s="278"/>
      <c r="I343" s="278"/>
      <c r="J343" s="192"/>
    </row>
    <row r="344" spans="1:10" ht="15.75">
      <c r="A344" s="281">
        <v>1</v>
      </c>
      <c r="B344" s="282">
        <v>2</v>
      </c>
      <c r="C344" s="282">
        <v>3</v>
      </c>
      <c r="D344" s="274">
        <v>5</v>
      </c>
      <c r="E344" s="229">
        <v>5</v>
      </c>
      <c r="F344" s="229">
        <v>6</v>
      </c>
      <c r="G344" s="231"/>
      <c r="H344" s="278"/>
      <c r="I344" s="278"/>
      <c r="J344" s="192"/>
    </row>
    <row r="345" spans="1:10" ht="47.25">
      <c r="A345" s="281">
        <v>1</v>
      </c>
      <c r="B345" s="295" t="s">
        <v>675</v>
      </c>
      <c r="C345" s="295">
        <v>5</v>
      </c>
      <c r="D345" s="289">
        <f aca="true" t="shared" si="3" ref="D345:D350">SUM(E345:F345)</f>
        <v>130583.95999999999</v>
      </c>
      <c r="E345" s="308">
        <v>71269</v>
      </c>
      <c r="F345" s="308">
        <f>160583.06-101268.1</f>
        <v>59314.95999999999</v>
      </c>
      <c r="G345" s="231"/>
      <c r="H345" s="278"/>
      <c r="I345" s="278"/>
      <c r="J345" s="192"/>
    </row>
    <row r="346" spans="1:10" ht="31.5">
      <c r="A346" s="281">
        <v>2</v>
      </c>
      <c r="B346" s="295" t="s">
        <v>676</v>
      </c>
      <c r="C346" s="295">
        <v>5</v>
      </c>
      <c r="D346" s="289">
        <f t="shared" si="3"/>
        <v>56872.94</v>
      </c>
      <c r="E346" s="289">
        <v>30000</v>
      </c>
      <c r="F346" s="289">
        <v>26872.94</v>
      </c>
      <c r="G346" s="231"/>
      <c r="H346" s="278"/>
      <c r="I346" s="278"/>
      <c r="J346" s="192"/>
    </row>
    <row r="347" spans="1:10" ht="15.75">
      <c r="A347" s="281">
        <v>3</v>
      </c>
      <c r="B347" s="295" t="s">
        <v>677</v>
      </c>
      <c r="C347" s="295">
        <v>2</v>
      </c>
      <c r="D347" s="289">
        <f t="shared" si="3"/>
        <v>40000</v>
      </c>
      <c r="E347" s="289">
        <v>0</v>
      </c>
      <c r="F347" s="289">
        <v>40000</v>
      </c>
      <c r="G347" s="231"/>
      <c r="H347" s="278"/>
      <c r="I347" s="278"/>
      <c r="J347" s="192"/>
    </row>
    <row r="348" spans="1:10" ht="15.75">
      <c r="A348" s="281">
        <v>4</v>
      </c>
      <c r="B348" s="295" t="s">
        <v>678</v>
      </c>
      <c r="C348" s="295">
        <v>1</v>
      </c>
      <c r="D348" s="289">
        <f t="shared" si="3"/>
        <v>78000</v>
      </c>
      <c r="E348" s="289">
        <v>0</v>
      </c>
      <c r="F348" s="289">
        <v>78000</v>
      </c>
      <c r="G348" s="231"/>
      <c r="H348" s="278"/>
      <c r="I348" s="278"/>
      <c r="J348" s="192"/>
    </row>
    <row r="349" spans="1:10" ht="15.75">
      <c r="A349" s="281">
        <v>5</v>
      </c>
      <c r="B349" s="464" t="s">
        <v>795</v>
      </c>
      <c r="C349" s="465"/>
      <c r="D349" s="289">
        <f t="shared" si="3"/>
        <v>312180</v>
      </c>
      <c r="E349" s="289"/>
      <c r="F349" s="289">
        <v>312180</v>
      </c>
      <c r="G349" s="231"/>
      <c r="H349" s="278"/>
      <c r="I349" s="278"/>
      <c r="J349" s="192"/>
    </row>
    <row r="350" spans="1:10" ht="47.25">
      <c r="A350" s="550">
        <v>6</v>
      </c>
      <c r="B350" s="295" t="s">
        <v>892</v>
      </c>
      <c r="C350" s="531">
        <v>1</v>
      </c>
      <c r="D350" s="289">
        <f t="shared" si="3"/>
        <v>17400</v>
      </c>
      <c r="E350" s="554">
        <v>0</v>
      </c>
      <c r="F350" s="554">
        <v>17400</v>
      </c>
      <c r="G350" s="231"/>
      <c r="H350" s="278"/>
      <c r="I350" s="278"/>
      <c r="J350" s="192"/>
    </row>
    <row r="351" spans="1:10" ht="47.25">
      <c r="A351" s="550">
        <v>7</v>
      </c>
      <c r="B351" s="295" t="s">
        <v>893</v>
      </c>
      <c r="C351" s="531">
        <v>1</v>
      </c>
      <c r="D351" s="289">
        <f aca="true" t="shared" si="4" ref="D351:D362">SUM(E351:F351)</f>
        <v>13800</v>
      </c>
      <c r="E351" s="554">
        <v>0</v>
      </c>
      <c r="F351" s="554">
        <v>13800</v>
      </c>
      <c r="G351" s="231"/>
      <c r="H351" s="278"/>
      <c r="I351" s="278"/>
      <c r="J351" s="192"/>
    </row>
    <row r="352" spans="1:10" ht="63">
      <c r="A352" s="550">
        <v>8</v>
      </c>
      <c r="B352" s="295" t="s">
        <v>894</v>
      </c>
      <c r="C352" s="531">
        <v>1</v>
      </c>
      <c r="D352" s="289">
        <f t="shared" si="4"/>
        <v>21000</v>
      </c>
      <c r="E352" s="554">
        <v>0</v>
      </c>
      <c r="F352" s="554">
        <v>21000</v>
      </c>
      <c r="G352" s="231"/>
      <c r="H352" s="278"/>
      <c r="I352" s="278"/>
      <c r="J352" s="192"/>
    </row>
    <row r="353" spans="1:10" ht="15.75">
      <c r="A353" s="550">
        <v>9</v>
      </c>
      <c r="B353" s="295" t="s">
        <v>895</v>
      </c>
      <c r="C353" s="531">
        <v>1</v>
      </c>
      <c r="D353" s="289">
        <f t="shared" si="4"/>
        <v>24000</v>
      </c>
      <c r="E353" s="554">
        <v>0</v>
      </c>
      <c r="F353" s="554">
        <v>24000</v>
      </c>
      <c r="G353" s="231"/>
      <c r="H353" s="278"/>
      <c r="I353" s="278"/>
      <c r="J353" s="192"/>
    </row>
    <row r="354" spans="1:10" ht="31.5">
      <c r="A354" s="550">
        <v>10</v>
      </c>
      <c r="B354" s="295" t="s">
        <v>896</v>
      </c>
      <c r="C354" s="531">
        <v>1</v>
      </c>
      <c r="D354" s="289">
        <f t="shared" si="4"/>
        <v>31311</v>
      </c>
      <c r="E354" s="554">
        <v>0</v>
      </c>
      <c r="F354" s="554">
        <v>31311</v>
      </c>
      <c r="G354" s="231"/>
      <c r="H354" s="278"/>
      <c r="I354" s="278"/>
      <c r="J354" s="192"/>
    </row>
    <row r="355" spans="1:10" ht="31.5">
      <c r="A355" s="550">
        <v>11</v>
      </c>
      <c r="B355" s="295" t="s">
        <v>897</v>
      </c>
      <c r="C355" s="531">
        <v>1</v>
      </c>
      <c r="D355" s="289">
        <f t="shared" si="4"/>
        <v>30348</v>
      </c>
      <c r="E355" s="554">
        <v>0</v>
      </c>
      <c r="F355" s="554">
        <v>30348</v>
      </c>
      <c r="G355" s="231"/>
      <c r="H355" s="278"/>
      <c r="I355" s="278"/>
      <c r="J355" s="192"/>
    </row>
    <row r="356" spans="1:10" ht="15.75">
      <c r="A356" s="550">
        <v>12</v>
      </c>
      <c r="B356" s="295" t="s">
        <v>898</v>
      </c>
      <c r="C356" s="531">
        <v>1</v>
      </c>
      <c r="D356" s="289">
        <f t="shared" si="4"/>
        <v>8900</v>
      </c>
      <c r="E356" s="554">
        <v>0</v>
      </c>
      <c r="F356" s="554">
        <v>8900</v>
      </c>
      <c r="G356" s="231"/>
      <c r="H356" s="278"/>
      <c r="I356" s="278"/>
      <c r="J356" s="192"/>
    </row>
    <row r="357" spans="1:10" ht="15.75">
      <c r="A357" s="550">
        <v>13</v>
      </c>
      <c r="B357" s="295" t="s">
        <v>895</v>
      </c>
      <c r="C357" s="531">
        <v>1</v>
      </c>
      <c r="D357" s="289">
        <f t="shared" si="4"/>
        <v>744600</v>
      </c>
      <c r="E357" s="554">
        <v>0</v>
      </c>
      <c r="F357" s="554">
        <v>744600</v>
      </c>
      <c r="G357" s="231"/>
      <c r="H357" s="278"/>
      <c r="I357" s="278"/>
      <c r="J357" s="192"/>
    </row>
    <row r="358" spans="1:10" ht="31.5">
      <c r="A358" s="550">
        <v>14</v>
      </c>
      <c r="B358" s="295" t="s">
        <v>899</v>
      </c>
      <c r="C358" s="531">
        <v>1</v>
      </c>
      <c r="D358" s="289">
        <f t="shared" si="4"/>
        <v>8500</v>
      </c>
      <c r="E358" s="554">
        <v>0</v>
      </c>
      <c r="F358" s="554">
        <v>8500</v>
      </c>
      <c r="G358" s="231"/>
      <c r="H358" s="278"/>
      <c r="I358" s="278"/>
      <c r="J358" s="192"/>
    </row>
    <row r="359" spans="1:10" ht="31.5">
      <c r="A359" s="550">
        <v>15</v>
      </c>
      <c r="B359" s="295" t="s">
        <v>900</v>
      </c>
      <c r="C359" s="531">
        <v>1</v>
      </c>
      <c r="D359" s="289">
        <f t="shared" si="4"/>
        <v>0</v>
      </c>
      <c r="E359" s="554">
        <v>0</v>
      </c>
      <c r="F359" s="554"/>
      <c r="G359" s="231"/>
      <c r="H359" s="278"/>
      <c r="I359" s="278"/>
      <c r="J359" s="192"/>
    </row>
    <row r="360" spans="1:10" ht="15.75">
      <c r="A360" s="550">
        <v>16</v>
      </c>
      <c r="B360" s="295" t="s">
        <v>901</v>
      </c>
      <c r="C360" s="531">
        <v>1</v>
      </c>
      <c r="D360" s="289">
        <f t="shared" si="4"/>
        <v>3000</v>
      </c>
      <c r="E360" s="554">
        <v>0</v>
      </c>
      <c r="F360" s="554">
        <v>3000</v>
      </c>
      <c r="G360" s="231"/>
      <c r="H360" s="278"/>
      <c r="I360" s="278"/>
      <c r="J360" s="192"/>
    </row>
    <row r="361" spans="1:10" ht="15.75">
      <c r="A361" s="550">
        <v>17</v>
      </c>
      <c r="B361" s="295" t="s">
        <v>902</v>
      </c>
      <c r="C361" s="215">
        <v>1</v>
      </c>
      <c r="D361" s="289">
        <f t="shared" si="4"/>
        <v>7000</v>
      </c>
      <c r="E361" s="554">
        <v>0</v>
      </c>
      <c r="F361" s="554">
        <v>7000</v>
      </c>
      <c r="G361" s="231"/>
      <c r="H361" s="278"/>
      <c r="I361" s="278"/>
      <c r="J361" s="192"/>
    </row>
    <row r="362" spans="1:10" ht="63">
      <c r="A362" s="550">
        <v>18</v>
      </c>
      <c r="B362" s="295" t="s">
        <v>903</v>
      </c>
      <c r="C362" s="215">
        <v>1</v>
      </c>
      <c r="D362" s="289">
        <f t="shared" si="4"/>
        <v>12000</v>
      </c>
      <c r="E362" s="554">
        <v>12000</v>
      </c>
      <c r="F362" s="554">
        <v>0</v>
      </c>
      <c r="G362" s="231"/>
      <c r="H362" s="278"/>
      <c r="I362" s="278"/>
      <c r="J362" s="192"/>
    </row>
    <row r="363" spans="1:10" ht="15.75">
      <c r="A363" s="550"/>
      <c r="B363" s="464"/>
      <c r="C363" s="465"/>
      <c r="D363" s="289"/>
      <c r="E363" s="289"/>
      <c r="F363" s="289"/>
      <c r="G363" s="231"/>
      <c r="H363" s="278"/>
      <c r="I363" s="278"/>
      <c r="J363" s="192"/>
    </row>
    <row r="364" spans="1:10" ht="15.75">
      <c r="A364" s="550"/>
      <c r="B364" s="464"/>
      <c r="C364" s="465"/>
      <c r="D364" s="289"/>
      <c r="E364" s="289"/>
      <c r="F364" s="289"/>
      <c r="G364" s="231"/>
      <c r="H364" s="278"/>
      <c r="I364" s="278"/>
      <c r="J364" s="192"/>
    </row>
    <row r="365" spans="1:10" ht="15.75">
      <c r="A365" s="550"/>
      <c r="B365" s="464"/>
      <c r="C365" s="465"/>
      <c r="D365" s="289"/>
      <c r="E365" s="289"/>
      <c r="F365" s="289"/>
      <c r="G365" s="231"/>
      <c r="H365" s="278"/>
      <c r="I365" s="278"/>
      <c r="J365" s="192"/>
    </row>
    <row r="366" spans="1:10" ht="15.75">
      <c r="A366" s="550"/>
      <c r="B366" s="464"/>
      <c r="C366" s="465"/>
      <c r="D366" s="289"/>
      <c r="E366" s="289"/>
      <c r="F366" s="289"/>
      <c r="G366" s="231"/>
      <c r="H366" s="278"/>
      <c r="I366" s="278"/>
      <c r="J366" s="192"/>
    </row>
    <row r="367" spans="1:10" ht="15.75">
      <c r="A367" s="550"/>
      <c r="B367" s="464"/>
      <c r="C367" s="465"/>
      <c r="D367" s="289"/>
      <c r="E367" s="289"/>
      <c r="F367" s="289"/>
      <c r="G367" s="231"/>
      <c r="H367" s="278"/>
      <c r="I367" s="278"/>
      <c r="J367" s="192"/>
    </row>
    <row r="368" spans="1:10" ht="15.75">
      <c r="A368" s="709" t="s">
        <v>561</v>
      </c>
      <c r="B368" s="711"/>
      <c r="C368" s="202" t="s">
        <v>562</v>
      </c>
      <c r="D368" s="292">
        <f>SUM(D345:D362)</f>
        <v>1539495.9</v>
      </c>
      <c r="E368" s="292">
        <f>SUM(E345:E362)</f>
        <v>113269</v>
      </c>
      <c r="F368" s="292">
        <f>SUM(F345:F361)</f>
        <v>1426226.9</v>
      </c>
      <c r="G368" s="276"/>
      <c r="H368" s="278"/>
      <c r="I368" s="278"/>
      <c r="J368" s="192"/>
    </row>
    <row r="369" spans="1:10" ht="15.75">
      <c r="A369" s="237"/>
      <c r="B369" s="192"/>
      <c r="C369" s="237"/>
      <c r="D369" s="237"/>
      <c r="E369" s="237"/>
      <c r="F369" s="237"/>
      <c r="G369" s="192"/>
      <c r="H369" s="278"/>
      <c r="I369" s="278"/>
      <c r="J369" s="192"/>
    </row>
    <row r="370" spans="1:10" ht="15.75" hidden="1">
      <c r="A370" s="283"/>
      <c r="B370" s="283" t="s">
        <v>891</v>
      </c>
      <c r="C370" s="283"/>
      <c r="D370" s="283"/>
      <c r="E370" s="283"/>
      <c r="F370" s="237"/>
      <c r="G370" s="192"/>
      <c r="H370" s="278"/>
      <c r="I370" s="278"/>
      <c r="J370" s="192"/>
    </row>
    <row r="371" spans="1:10" ht="15.75" hidden="1">
      <c r="A371" s="237"/>
      <c r="B371" s="192"/>
      <c r="C371" s="237"/>
      <c r="D371" s="237"/>
      <c r="E371" s="237"/>
      <c r="F371" s="237"/>
      <c r="G371" s="192"/>
      <c r="H371" s="278"/>
      <c r="I371" s="278"/>
      <c r="J371" s="192"/>
    </row>
    <row r="372" spans="1:10" ht="15.75" hidden="1">
      <c r="A372" s="689" t="s">
        <v>545</v>
      </c>
      <c r="B372" s="715" t="s">
        <v>1</v>
      </c>
      <c r="C372" s="715" t="s">
        <v>673</v>
      </c>
      <c r="D372" s="716" t="s">
        <v>579</v>
      </c>
      <c r="E372" s="717"/>
      <c r="F372" s="718"/>
      <c r="G372" s="257"/>
      <c r="H372" s="278"/>
      <c r="I372" s="278"/>
      <c r="J372" s="192"/>
    </row>
    <row r="373" spans="1:10" ht="31.5" hidden="1">
      <c r="A373" s="690"/>
      <c r="B373" s="715"/>
      <c r="C373" s="715"/>
      <c r="D373" s="270" t="s">
        <v>674</v>
      </c>
      <c r="E373" s="236" t="s">
        <v>557</v>
      </c>
      <c r="F373" s="236" t="s">
        <v>563</v>
      </c>
      <c r="G373" s="272"/>
      <c r="H373" s="278"/>
      <c r="I373" s="278"/>
      <c r="J373" s="192"/>
    </row>
    <row r="374" spans="1:10" ht="15.75" hidden="1">
      <c r="A374" s="281">
        <v>1</v>
      </c>
      <c r="B374" s="282">
        <v>2</v>
      </c>
      <c r="C374" s="282">
        <v>3</v>
      </c>
      <c r="D374" s="274">
        <v>5</v>
      </c>
      <c r="E374" s="229">
        <v>5</v>
      </c>
      <c r="F374" s="229">
        <v>6</v>
      </c>
      <c r="G374" s="231"/>
      <c r="H374" s="278"/>
      <c r="I374" s="278"/>
      <c r="J374" s="192"/>
    </row>
    <row r="375" spans="1:10" ht="47.25" hidden="1">
      <c r="A375" s="281">
        <v>1</v>
      </c>
      <c r="B375" s="295" t="s">
        <v>892</v>
      </c>
      <c r="C375" s="531">
        <v>1</v>
      </c>
      <c r="D375" s="289">
        <f>SUM(E375:F375)</f>
        <v>0</v>
      </c>
      <c r="E375" s="289"/>
      <c r="F375" s="289"/>
      <c r="G375" s="231"/>
      <c r="H375" s="278"/>
      <c r="I375" s="278"/>
      <c r="J375" s="192"/>
    </row>
    <row r="376" spans="1:10" ht="47.25" hidden="1">
      <c r="A376" s="281">
        <v>2</v>
      </c>
      <c r="B376" s="295" t="s">
        <v>893</v>
      </c>
      <c r="C376" s="531">
        <v>1</v>
      </c>
      <c r="D376" s="289">
        <f aca="true" t="shared" si="5" ref="D376:D387">SUM(E376:F376)</f>
        <v>0</v>
      </c>
      <c r="E376" s="289"/>
      <c r="F376" s="289"/>
      <c r="G376" s="231"/>
      <c r="H376" s="278"/>
      <c r="I376" s="278"/>
      <c r="J376" s="192"/>
    </row>
    <row r="377" spans="1:10" ht="63" hidden="1">
      <c r="A377" s="281">
        <v>3</v>
      </c>
      <c r="B377" s="295" t="s">
        <v>894</v>
      </c>
      <c r="C377" s="531">
        <v>1</v>
      </c>
      <c r="D377" s="289">
        <f t="shared" si="5"/>
        <v>0</v>
      </c>
      <c r="E377" s="289"/>
      <c r="F377" s="289"/>
      <c r="G377" s="231"/>
      <c r="H377" s="278"/>
      <c r="I377" s="278"/>
      <c r="J377" s="192"/>
    </row>
    <row r="378" spans="1:10" ht="15.75" hidden="1">
      <c r="A378" s="281">
        <v>4</v>
      </c>
      <c r="B378" s="295" t="s">
        <v>895</v>
      </c>
      <c r="C378" s="531">
        <v>1</v>
      </c>
      <c r="D378" s="289">
        <f t="shared" si="5"/>
        <v>0</v>
      </c>
      <c r="E378" s="289"/>
      <c r="F378" s="289"/>
      <c r="G378" s="231"/>
      <c r="H378" s="278"/>
      <c r="I378" s="278"/>
      <c r="J378" s="192"/>
    </row>
    <row r="379" spans="1:10" ht="31.5" hidden="1">
      <c r="A379" s="281">
        <v>5</v>
      </c>
      <c r="B379" s="295" t="s">
        <v>896</v>
      </c>
      <c r="C379" s="531">
        <v>1</v>
      </c>
      <c r="D379" s="289">
        <f t="shared" si="5"/>
        <v>0</v>
      </c>
      <c r="E379" s="289"/>
      <c r="F379" s="289"/>
      <c r="G379" s="231"/>
      <c r="H379" s="278"/>
      <c r="I379" s="278"/>
      <c r="J379" s="192"/>
    </row>
    <row r="380" spans="1:10" ht="31.5" hidden="1">
      <c r="A380" s="281">
        <v>6</v>
      </c>
      <c r="B380" s="295" t="s">
        <v>897</v>
      </c>
      <c r="C380" s="531">
        <v>1</v>
      </c>
      <c r="D380" s="289">
        <f t="shared" si="5"/>
        <v>0</v>
      </c>
      <c r="E380" s="289"/>
      <c r="F380" s="289"/>
      <c r="G380" s="231"/>
      <c r="H380" s="278"/>
      <c r="I380" s="278"/>
      <c r="J380" s="192"/>
    </row>
    <row r="381" spans="1:10" ht="15.75" hidden="1">
      <c r="A381" s="281">
        <v>7</v>
      </c>
      <c r="B381" s="295" t="s">
        <v>898</v>
      </c>
      <c r="C381" s="531">
        <v>1</v>
      </c>
      <c r="D381" s="289">
        <f t="shared" si="5"/>
        <v>0</v>
      </c>
      <c r="E381" s="289"/>
      <c r="F381" s="289"/>
      <c r="G381" s="231"/>
      <c r="H381" s="278"/>
      <c r="I381" s="278"/>
      <c r="J381" s="192"/>
    </row>
    <row r="382" spans="1:10" ht="15.75" hidden="1">
      <c r="A382" s="281">
        <v>8</v>
      </c>
      <c r="B382" s="295" t="s">
        <v>895</v>
      </c>
      <c r="C382" s="531">
        <v>1</v>
      </c>
      <c r="D382" s="289">
        <f t="shared" si="5"/>
        <v>0</v>
      </c>
      <c r="E382" s="289"/>
      <c r="F382" s="289"/>
      <c r="G382" s="231"/>
      <c r="H382" s="278"/>
      <c r="I382" s="278"/>
      <c r="J382" s="192"/>
    </row>
    <row r="383" spans="1:10" ht="31.5" hidden="1">
      <c r="A383" s="281">
        <v>9</v>
      </c>
      <c r="B383" s="295" t="s">
        <v>899</v>
      </c>
      <c r="C383" s="531">
        <v>1</v>
      </c>
      <c r="D383" s="289">
        <f t="shared" si="5"/>
        <v>0</v>
      </c>
      <c r="E383" s="289"/>
      <c r="F383" s="289"/>
      <c r="G383" s="231"/>
      <c r="H383" s="278"/>
      <c r="I383" s="278"/>
      <c r="J383" s="192"/>
    </row>
    <row r="384" spans="1:10" ht="31.5" hidden="1">
      <c r="A384" s="281">
        <v>10</v>
      </c>
      <c r="B384" s="295" t="s">
        <v>900</v>
      </c>
      <c r="C384" s="531">
        <v>1</v>
      </c>
      <c r="D384" s="289">
        <f t="shared" si="5"/>
        <v>0</v>
      </c>
      <c r="E384" s="289"/>
      <c r="F384" s="289"/>
      <c r="G384" s="231"/>
      <c r="H384" s="278"/>
      <c r="I384" s="278"/>
      <c r="J384" s="192"/>
    </row>
    <row r="385" spans="1:10" ht="15.75" hidden="1">
      <c r="A385" s="281">
        <v>11</v>
      </c>
      <c r="B385" s="295" t="s">
        <v>901</v>
      </c>
      <c r="C385" s="531">
        <v>1</v>
      </c>
      <c r="D385" s="289">
        <f t="shared" si="5"/>
        <v>0</v>
      </c>
      <c r="E385" s="289"/>
      <c r="F385" s="289"/>
      <c r="G385" s="231"/>
      <c r="H385" s="278"/>
      <c r="I385" s="278"/>
      <c r="J385" s="192"/>
    </row>
    <row r="386" spans="1:10" ht="15.75" hidden="1">
      <c r="A386" s="200">
        <v>12</v>
      </c>
      <c r="B386" s="295" t="s">
        <v>902</v>
      </c>
      <c r="C386" s="215">
        <v>1</v>
      </c>
      <c r="D386" s="289">
        <f t="shared" si="5"/>
        <v>0</v>
      </c>
      <c r="E386" s="289"/>
      <c r="F386" s="289"/>
      <c r="G386" s="231"/>
      <c r="H386" s="278"/>
      <c r="I386" s="278"/>
      <c r="J386" s="192"/>
    </row>
    <row r="387" spans="1:10" ht="63" hidden="1">
      <c r="A387" s="200">
        <v>13</v>
      </c>
      <c r="B387" s="295" t="s">
        <v>903</v>
      </c>
      <c r="C387" s="215">
        <v>1</v>
      </c>
      <c r="D387" s="289">
        <f t="shared" si="5"/>
        <v>0</v>
      </c>
      <c r="E387" s="289"/>
      <c r="F387" s="289"/>
      <c r="G387" s="276"/>
      <c r="H387" s="278"/>
      <c r="I387" s="278"/>
      <c r="J387" s="192"/>
    </row>
    <row r="388" spans="1:10" ht="16.5" hidden="1">
      <c r="A388" s="709" t="s">
        <v>561</v>
      </c>
      <c r="B388" s="711"/>
      <c r="C388" s="202" t="s">
        <v>562</v>
      </c>
      <c r="D388" s="524">
        <f>SUM(D375:D387)</f>
        <v>0</v>
      </c>
      <c r="E388" s="524">
        <f>SUM(E375:E387)</f>
        <v>0</v>
      </c>
      <c r="F388" s="524">
        <f>SUM(F375:F387)</f>
        <v>0</v>
      </c>
      <c r="G388" s="276"/>
      <c r="H388" s="278"/>
      <c r="I388" s="278"/>
      <c r="J388" s="192"/>
    </row>
    <row r="389" spans="1:10" ht="15.75">
      <c r="A389" s="237"/>
      <c r="B389" s="192"/>
      <c r="C389" s="237"/>
      <c r="D389" s="237"/>
      <c r="E389" s="237"/>
      <c r="F389" s="237"/>
      <c r="G389" s="192"/>
      <c r="H389" s="278"/>
      <c r="I389" s="278"/>
      <c r="J389" s="192"/>
    </row>
    <row r="390" spans="1:11" ht="149.25" customHeight="1">
      <c r="A390" s="712" t="s">
        <v>679</v>
      </c>
      <c r="B390" s="712"/>
      <c r="C390" s="712"/>
      <c r="D390" s="712"/>
      <c r="E390" s="712"/>
      <c r="F390" s="712"/>
      <c r="G390" s="712"/>
      <c r="H390" s="712"/>
      <c r="I390" s="712"/>
      <c r="J390" s="712"/>
      <c r="K390" s="712"/>
    </row>
    <row r="391" spans="1:10" ht="15.75">
      <c r="A391" s="237"/>
      <c r="B391" s="192"/>
      <c r="C391" s="237"/>
      <c r="D391" s="237"/>
      <c r="E391" s="237"/>
      <c r="F391" s="237"/>
      <c r="G391" s="192"/>
      <c r="H391" s="278"/>
      <c r="I391" s="278"/>
      <c r="J391" s="192"/>
    </row>
    <row r="392" spans="1:4" ht="15.75">
      <c r="A392" s="194"/>
      <c r="B392" s="194" t="s">
        <v>948</v>
      </c>
      <c r="C392" s="194"/>
      <c r="D392" s="194"/>
    </row>
    <row r="393" ht="15.75">
      <c r="B393" s="186"/>
    </row>
    <row r="394" spans="1:10" ht="25.5" customHeight="1">
      <c r="A394" s="689" t="s">
        <v>545</v>
      </c>
      <c r="B394" s="689" t="s">
        <v>566</v>
      </c>
      <c r="C394" s="729"/>
      <c r="D394" s="677" t="s">
        <v>651</v>
      </c>
      <c r="E394" s="679" t="s">
        <v>681</v>
      </c>
      <c r="F394" s="687" t="s">
        <v>579</v>
      </c>
      <c r="G394" s="687"/>
      <c r="H394" s="687"/>
      <c r="I394" s="309"/>
      <c r="J394" s="226"/>
    </row>
    <row r="395" spans="1:10" ht="54.75" customHeight="1">
      <c r="A395" s="690"/>
      <c r="B395" s="690"/>
      <c r="C395" s="730"/>
      <c r="D395" s="678"/>
      <c r="E395" s="680"/>
      <c r="F395" s="227" t="s">
        <v>682</v>
      </c>
      <c r="G395" s="227" t="s">
        <v>557</v>
      </c>
      <c r="H395" s="227" t="s">
        <v>563</v>
      </c>
      <c r="I395" s="192"/>
      <c r="J395" s="228"/>
    </row>
    <row r="396" spans="1:10" ht="15.75" customHeight="1">
      <c r="A396" s="232">
        <v>1</v>
      </c>
      <c r="B396" s="731">
        <v>2</v>
      </c>
      <c r="C396" s="732"/>
      <c r="D396" s="232">
        <v>3</v>
      </c>
      <c r="E396" s="232">
        <v>4</v>
      </c>
      <c r="F396" s="232">
        <v>5</v>
      </c>
      <c r="G396" s="232">
        <v>6</v>
      </c>
      <c r="H396" s="232">
        <v>7</v>
      </c>
      <c r="I396" s="278"/>
      <c r="J396" s="278"/>
    </row>
    <row r="397" spans="1:10" ht="15.75">
      <c r="A397" s="206">
        <v>1</v>
      </c>
      <c r="B397" s="733" t="s">
        <v>944</v>
      </c>
      <c r="C397" s="734"/>
      <c r="D397" s="303"/>
      <c r="E397" s="304"/>
      <c r="F397" s="304">
        <f>H397</f>
        <v>8000</v>
      </c>
      <c r="G397" s="304"/>
      <c r="H397" s="311">
        <v>8000</v>
      </c>
      <c r="I397" s="278"/>
      <c r="J397" s="192"/>
    </row>
    <row r="398" spans="1:10" ht="15.75">
      <c r="A398" s="264"/>
      <c r="B398" s="556"/>
      <c r="C398" s="545"/>
      <c r="D398" s="303"/>
      <c r="E398" s="304"/>
      <c r="F398" s="304"/>
      <c r="G398" s="304"/>
      <c r="H398" s="311"/>
      <c r="I398" s="278"/>
      <c r="J398" s="192"/>
    </row>
    <row r="399" spans="1:10" ht="15.75">
      <c r="A399" s="684" t="s">
        <v>571</v>
      </c>
      <c r="B399" s="735"/>
      <c r="C399" s="685"/>
      <c r="D399" s="200"/>
      <c r="E399" s="200" t="s">
        <v>562</v>
      </c>
      <c r="F399" s="292">
        <f>SUM(F397:F397)</f>
        <v>8000</v>
      </c>
      <c r="G399" s="312">
        <f>SUM(G397:G397)</f>
        <v>0</v>
      </c>
      <c r="H399" s="312">
        <f>SUM(H397:H397)</f>
        <v>8000</v>
      </c>
      <c r="I399" s="192"/>
      <c r="J399" s="192"/>
    </row>
    <row r="400" spans="1:10" ht="15.75">
      <c r="A400" s="237"/>
      <c r="B400" s="192"/>
      <c r="C400" s="237"/>
      <c r="D400" s="237"/>
      <c r="E400" s="237"/>
      <c r="F400" s="237"/>
      <c r="G400" s="192"/>
      <c r="H400" s="278"/>
      <c r="I400" s="278"/>
      <c r="J400" s="192"/>
    </row>
    <row r="401" spans="1:4" ht="15.75">
      <c r="A401" s="194"/>
      <c r="B401" s="194" t="s">
        <v>945</v>
      </c>
      <c r="C401" s="194"/>
      <c r="D401" s="194"/>
    </row>
    <row r="402" ht="15.75">
      <c r="B402" s="186"/>
    </row>
    <row r="403" spans="1:10" ht="25.5" customHeight="1">
      <c r="A403" s="689" t="s">
        <v>545</v>
      </c>
      <c r="B403" s="689" t="s">
        <v>566</v>
      </c>
      <c r="C403" s="729"/>
      <c r="D403" s="677" t="s">
        <v>651</v>
      </c>
      <c r="E403" s="679" t="s">
        <v>681</v>
      </c>
      <c r="F403" s="687" t="s">
        <v>579</v>
      </c>
      <c r="G403" s="687"/>
      <c r="H403" s="687"/>
      <c r="I403" s="309"/>
      <c r="J403" s="226"/>
    </row>
    <row r="404" spans="1:10" ht="54.75" customHeight="1">
      <c r="A404" s="690"/>
      <c r="B404" s="690"/>
      <c r="C404" s="730"/>
      <c r="D404" s="678"/>
      <c r="E404" s="680"/>
      <c r="F404" s="227" t="s">
        <v>682</v>
      </c>
      <c r="G404" s="227" t="s">
        <v>557</v>
      </c>
      <c r="H404" s="227" t="s">
        <v>563</v>
      </c>
      <c r="I404" s="192"/>
      <c r="J404" s="228"/>
    </row>
    <row r="405" spans="1:10" ht="15.75" customHeight="1">
      <c r="A405" s="232">
        <v>1</v>
      </c>
      <c r="B405" s="731">
        <v>2</v>
      </c>
      <c r="C405" s="732"/>
      <c r="D405" s="232">
        <v>3</v>
      </c>
      <c r="E405" s="232">
        <v>4</v>
      </c>
      <c r="F405" s="232">
        <v>5</v>
      </c>
      <c r="G405" s="232">
        <v>6</v>
      </c>
      <c r="H405" s="232">
        <v>7</v>
      </c>
      <c r="I405" s="278"/>
      <c r="J405" s="278"/>
    </row>
    <row r="406" spans="1:10" ht="15.75">
      <c r="A406" s="206">
        <v>1</v>
      </c>
      <c r="B406" s="733" t="s">
        <v>683</v>
      </c>
      <c r="C406" s="734"/>
      <c r="D406" s="303">
        <v>1782</v>
      </c>
      <c r="E406" s="304">
        <v>250</v>
      </c>
      <c r="F406" s="304">
        <f aca="true" t="shared" si="6" ref="F406:F411">SUM(G406:H406)</f>
        <v>417999.89999999997</v>
      </c>
      <c r="G406" s="304">
        <f>450000-50210.39</f>
        <v>399789.61</v>
      </c>
      <c r="H406" s="311">
        <v>18210.29</v>
      </c>
      <c r="I406" s="278"/>
      <c r="J406" s="192"/>
    </row>
    <row r="407" spans="1:10" ht="15.75">
      <c r="A407" s="206">
        <v>2</v>
      </c>
      <c r="B407" s="733" t="s">
        <v>684</v>
      </c>
      <c r="C407" s="734"/>
      <c r="D407" s="303">
        <v>25</v>
      </c>
      <c r="E407" s="304">
        <v>16460</v>
      </c>
      <c r="F407" s="304">
        <f t="shared" si="6"/>
        <v>120000</v>
      </c>
      <c r="G407" s="304">
        <v>0</v>
      </c>
      <c r="H407" s="311">
        <v>120000</v>
      </c>
      <c r="I407" s="278"/>
      <c r="J407" s="192"/>
    </row>
    <row r="408" spans="1:10" ht="15.75">
      <c r="A408" s="206">
        <v>3</v>
      </c>
      <c r="B408" s="733" t="s">
        <v>685</v>
      </c>
      <c r="C408" s="734"/>
      <c r="D408" s="303">
        <v>135</v>
      </c>
      <c r="E408" s="304">
        <v>1277</v>
      </c>
      <c r="F408" s="304">
        <f t="shared" si="6"/>
        <v>175000</v>
      </c>
      <c r="G408" s="304">
        <v>0</v>
      </c>
      <c r="H408" s="311">
        <v>175000</v>
      </c>
      <c r="I408" s="278"/>
      <c r="J408" s="192"/>
    </row>
    <row r="409" spans="1:10" ht="15.75">
      <c r="A409" s="264">
        <v>4</v>
      </c>
      <c r="B409" s="684" t="s">
        <v>905</v>
      </c>
      <c r="C409" s="685"/>
      <c r="D409" s="206"/>
      <c r="E409" s="206"/>
      <c r="F409" s="355">
        <f t="shared" si="6"/>
        <v>74307.91</v>
      </c>
      <c r="G409" s="363">
        <v>74307.91</v>
      </c>
      <c r="H409" s="311"/>
      <c r="I409" s="278"/>
      <c r="J409" s="192"/>
    </row>
    <row r="410" spans="1:10" ht="15.75">
      <c r="A410" s="264">
        <v>5</v>
      </c>
      <c r="B410" s="511" t="s">
        <v>906</v>
      </c>
      <c r="C410" s="512"/>
      <c r="D410" s="206"/>
      <c r="E410" s="206"/>
      <c r="F410" s="355">
        <f t="shared" si="6"/>
        <v>66000</v>
      </c>
      <c r="G410" s="363">
        <v>66000</v>
      </c>
      <c r="H410" s="311"/>
      <c r="I410" s="278"/>
      <c r="J410" s="192"/>
    </row>
    <row r="411" spans="1:10" ht="15.75">
      <c r="A411" s="264">
        <v>6</v>
      </c>
      <c r="B411" s="684" t="s">
        <v>907</v>
      </c>
      <c r="C411" s="685"/>
      <c r="D411" s="206"/>
      <c r="E411" s="206"/>
      <c r="F411" s="355">
        <f t="shared" si="6"/>
        <v>128337.7</v>
      </c>
      <c r="G411" s="363">
        <v>128337.7</v>
      </c>
      <c r="H411" s="311"/>
      <c r="I411" s="278"/>
      <c r="J411" s="192"/>
    </row>
    <row r="412" spans="1:10" ht="15.75">
      <c r="A412" s="264"/>
      <c r="B412" s="556"/>
      <c r="C412" s="545"/>
      <c r="D412" s="303"/>
      <c r="E412" s="304"/>
      <c r="F412" s="304"/>
      <c r="G412" s="304"/>
      <c r="H412" s="311"/>
      <c r="I412" s="278"/>
      <c r="J412" s="192"/>
    </row>
    <row r="413" spans="1:10" ht="15.75">
      <c r="A413" s="684" t="s">
        <v>571</v>
      </c>
      <c r="B413" s="735"/>
      <c r="C413" s="685"/>
      <c r="D413" s="200"/>
      <c r="E413" s="200" t="s">
        <v>562</v>
      </c>
      <c r="F413" s="292">
        <f>SUM(F406:F411)</f>
        <v>981645.5099999999</v>
      </c>
      <c r="G413" s="312">
        <f>SUM(G406:G411)</f>
        <v>668435.22</v>
      </c>
      <c r="H413" s="312">
        <f>SUM(H406:H408)</f>
        <v>313210.29000000004</v>
      </c>
      <c r="I413" s="192"/>
      <c r="J413" s="192"/>
    </row>
    <row r="414" ht="15.75">
      <c r="B414" s="186"/>
    </row>
    <row r="415" spans="1:4" ht="15.75" hidden="1">
      <c r="A415" s="194"/>
      <c r="B415" s="194" t="s">
        <v>904</v>
      </c>
      <c r="C415" s="194"/>
      <c r="D415" s="194"/>
    </row>
    <row r="416" ht="15.75" hidden="1">
      <c r="B416" s="186"/>
    </row>
    <row r="417" spans="1:10" ht="15.75" hidden="1">
      <c r="A417" s="689" t="s">
        <v>545</v>
      </c>
      <c r="B417" s="689" t="s">
        <v>566</v>
      </c>
      <c r="C417" s="729"/>
      <c r="D417" s="677" t="s">
        <v>651</v>
      </c>
      <c r="E417" s="679" t="s">
        <v>681</v>
      </c>
      <c r="F417" s="687" t="s">
        <v>579</v>
      </c>
      <c r="G417" s="687"/>
      <c r="H417" s="687"/>
      <c r="I417" s="309"/>
      <c r="J417" s="226"/>
    </row>
    <row r="418" spans="1:10" ht="47.25" hidden="1">
      <c r="A418" s="690"/>
      <c r="B418" s="690"/>
      <c r="C418" s="730"/>
      <c r="D418" s="678"/>
      <c r="E418" s="680"/>
      <c r="F418" s="227" t="s">
        <v>682</v>
      </c>
      <c r="G418" s="227" t="s">
        <v>557</v>
      </c>
      <c r="H418" s="227" t="s">
        <v>563</v>
      </c>
      <c r="I418" s="192"/>
      <c r="J418" s="228"/>
    </row>
    <row r="419" spans="1:10" ht="15.75" hidden="1">
      <c r="A419" s="232">
        <v>1</v>
      </c>
      <c r="B419" s="731">
        <v>2</v>
      </c>
      <c r="C419" s="732"/>
      <c r="D419" s="232">
        <v>3</v>
      </c>
      <c r="E419" s="232">
        <v>4</v>
      </c>
      <c r="F419" s="232">
        <v>5</v>
      </c>
      <c r="G419" s="232">
        <v>6</v>
      </c>
      <c r="H419" s="232">
        <v>7</v>
      </c>
      <c r="I419" s="278"/>
      <c r="J419" s="278"/>
    </row>
    <row r="420" spans="1:10" ht="15.75" hidden="1">
      <c r="A420" s="200">
        <v>1</v>
      </c>
      <c r="B420" s="684" t="s">
        <v>905</v>
      </c>
      <c r="C420" s="685"/>
      <c r="D420" s="206"/>
      <c r="E420" s="206"/>
      <c r="F420" s="355">
        <f>SUM(G420:H420)</f>
        <v>0</v>
      </c>
      <c r="G420" s="355"/>
      <c r="H420" s="355">
        <v>0</v>
      </c>
      <c r="I420" s="278"/>
      <c r="J420" s="192"/>
    </row>
    <row r="421" spans="1:10" ht="15.75" hidden="1">
      <c r="A421" s="200">
        <v>2</v>
      </c>
      <c r="B421" s="511" t="s">
        <v>906</v>
      </c>
      <c r="C421" s="512"/>
      <c r="D421" s="206"/>
      <c r="E421" s="206"/>
      <c r="F421" s="355">
        <f>SUM(G421:H421)</f>
        <v>0</v>
      </c>
      <c r="G421" s="355"/>
      <c r="H421" s="355">
        <v>0</v>
      </c>
      <c r="I421" s="278"/>
      <c r="J421" s="192"/>
    </row>
    <row r="422" spans="1:10" ht="15.75" hidden="1">
      <c r="A422" s="200">
        <v>3</v>
      </c>
      <c r="B422" s="684" t="s">
        <v>907</v>
      </c>
      <c r="C422" s="685"/>
      <c r="D422" s="206"/>
      <c r="E422" s="206"/>
      <c r="F422" s="355">
        <f>SUM(G422:H422)</f>
        <v>0</v>
      </c>
      <c r="G422" s="355"/>
      <c r="H422" s="355">
        <v>0</v>
      </c>
      <c r="I422" s="278"/>
      <c r="J422" s="192"/>
    </row>
    <row r="423" spans="1:10" ht="16.5" hidden="1">
      <c r="A423" s="684" t="s">
        <v>571</v>
      </c>
      <c r="B423" s="735"/>
      <c r="C423" s="685"/>
      <c r="D423" s="200"/>
      <c r="E423" s="200" t="s">
        <v>562</v>
      </c>
      <c r="F423" s="521">
        <f>SUM(F420:F422)</f>
        <v>0</v>
      </c>
      <c r="G423" s="521">
        <f>SUM(G420:G422)</f>
        <v>0</v>
      </c>
      <c r="H423" s="521">
        <f>SUM(H420:H422)</f>
        <v>0</v>
      </c>
      <c r="I423" s="192"/>
      <c r="J423" s="192"/>
    </row>
    <row r="424" ht="15.75">
      <c r="B424" s="186"/>
    </row>
    <row r="425" spans="1:4" ht="15.75">
      <c r="A425" s="194"/>
      <c r="B425" s="194" t="s">
        <v>946</v>
      </c>
      <c r="C425" s="194"/>
      <c r="D425" s="194"/>
    </row>
    <row r="426" ht="15.75">
      <c r="B426" s="186"/>
    </row>
    <row r="427" spans="1:10" ht="25.5" customHeight="1">
      <c r="A427" s="689" t="s">
        <v>545</v>
      </c>
      <c r="B427" s="689" t="s">
        <v>566</v>
      </c>
      <c r="C427" s="729"/>
      <c r="D427" s="677" t="s">
        <v>651</v>
      </c>
      <c r="E427" s="679" t="s">
        <v>681</v>
      </c>
      <c r="F427" s="687" t="s">
        <v>579</v>
      </c>
      <c r="G427" s="687"/>
      <c r="H427" s="687"/>
      <c r="I427" s="309"/>
      <c r="J427" s="226"/>
    </row>
    <row r="428" spans="1:10" ht="54.75" customHeight="1">
      <c r="A428" s="690"/>
      <c r="B428" s="690"/>
      <c r="C428" s="730"/>
      <c r="D428" s="678"/>
      <c r="E428" s="680"/>
      <c r="F428" s="227" t="s">
        <v>682</v>
      </c>
      <c r="G428" s="227" t="s">
        <v>557</v>
      </c>
      <c r="H428" s="227" t="s">
        <v>563</v>
      </c>
      <c r="I428" s="192"/>
      <c r="J428" s="228"/>
    </row>
    <row r="429" spans="1:10" ht="15.75" customHeight="1">
      <c r="A429" s="232">
        <v>1</v>
      </c>
      <c r="B429" s="731">
        <v>2</v>
      </c>
      <c r="C429" s="732"/>
      <c r="D429" s="232">
        <v>3</v>
      </c>
      <c r="E429" s="232">
        <v>4</v>
      </c>
      <c r="F429" s="232">
        <v>5</v>
      </c>
      <c r="G429" s="232">
        <v>6</v>
      </c>
      <c r="H429" s="232">
        <v>7</v>
      </c>
      <c r="I429" s="278"/>
      <c r="J429" s="278"/>
    </row>
    <row r="430" spans="1:10" ht="15" customHeight="1">
      <c r="A430" s="200">
        <v>1</v>
      </c>
      <c r="B430" s="736" t="s">
        <v>687</v>
      </c>
      <c r="C430" s="737"/>
      <c r="D430" s="313">
        <v>173</v>
      </c>
      <c r="E430" s="314">
        <v>453.02448</v>
      </c>
      <c r="F430" s="289">
        <f aca="true" t="shared" si="7" ref="F430:F435">SUM(G430:H430)</f>
        <v>4943.1</v>
      </c>
      <c r="G430" s="289">
        <v>0</v>
      </c>
      <c r="H430" s="289">
        <v>4943.1</v>
      </c>
      <c r="I430" s="278"/>
      <c r="J430" s="278"/>
    </row>
    <row r="431" spans="1:10" ht="15" customHeight="1">
      <c r="A431" s="200">
        <v>2</v>
      </c>
      <c r="B431" s="736" t="s">
        <v>688</v>
      </c>
      <c r="C431" s="737"/>
      <c r="D431" s="313">
        <v>500</v>
      </c>
      <c r="E431" s="313">
        <v>500</v>
      </c>
      <c r="F431" s="289">
        <f t="shared" si="7"/>
        <v>0</v>
      </c>
      <c r="G431" s="289">
        <v>0</v>
      </c>
      <c r="H431" s="289">
        <v>0</v>
      </c>
      <c r="I431" s="278"/>
      <c r="J431" s="278"/>
    </row>
    <row r="432" spans="1:10" ht="15" customHeight="1">
      <c r="A432" s="200">
        <v>3</v>
      </c>
      <c r="B432" s="736" t="s">
        <v>689</v>
      </c>
      <c r="C432" s="737"/>
      <c r="D432" s="313">
        <v>500</v>
      </c>
      <c r="E432" s="313">
        <v>500</v>
      </c>
      <c r="F432" s="289">
        <f t="shared" si="7"/>
        <v>0</v>
      </c>
      <c r="G432" s="289">
        <v>0</v>
      </c>
      <c r="H432" s="289">
        <v>0</v>
      </c>
      <c r="I432" s="278"/>
      <c r="J432" s="278"/>
    </row>
    <row r="433" spans="1:10" ht="15.75" customHeight="1">
      <c r="A433" s="200">
        <v>4</v>
      </c>
      <c r="B433" s="736" t="s">
        <v>690</v>
      </c>
      <c r="C433" s="737"/>
      <c r="D433" s="313">
        <v>400</v>
      </c>
      <c r="E433" s="313">
        <v>200</v>
      </c>
      <c r="F433" s="289">
        <f t="shared" si="7"/>
        <v>80000</v>
      </c>
      <c r="G433" s="289">
        <v>0</v>
      </c>
      <c r="H433" s="289">
        <f>80000</f>
        <v>80000</v>
      </c>
      <c r="I433" s="278"/>
      <c r="J433" s="278"/>
    </row>
    <row r="434" spans="1:10" ht="15.75">
      <c r="A434" s="200">
        <v>5</v>
      </c>
      <c r="B434" s="738" t="s">
        <v>691</v>
      </c>
      <c r="C434" s="738"/>
      <c r="D434" s="313">
        <v>250</v>
      </c>
      <c r="E434" s="313">
        <v>200</v>
      </c>
      <c r="F434" s="289">
        <f t="shared" si="7"/>
        <v>40000</v>
      </c>
      <c r="G434" s="289">
        <v>0</v>
      </c>
      <c r="H434" s="289">
        <v>40000</v>
      </c>
      <c r="I434" s="278"/>
      <c r="J434" s="192"/>
    </row>
    <row r="435" spans="1:10" ht="15.75">
      <c r="A435" s="206">
        <v>6</v>
      </c>
      <c r="B435" s="742" t="s">
        <v>329</v>
      </c>
      <c r="C435" s="743"/>
      <c r="D435" s="232"/>
      <c r="E435" s="232"/>
      <c r="F435" s="355">
        <f t="shared" si="7"/>
        <v>437421.05</v>
      </c>
      <c r="G435" s="355">
        <v>0</v>
      </c>
      <c r="H435" s="363">
        <v>437421.05</v>
      </c>
      <c r="I435" s="278"/>
      <c r="J435" s="192"/>
    </row>
    <row r="436" spans="1:10" ht="15.75">
      <c r="A436" s="264">
        <v>7</v>
      </c>
      <c r="B436" s="742" t="s">
        <v>328</v>
      </c>
      <c r="C436" s="743"/>
      <c r="D436" s="232"/>
      <c r="E436" s="232"/>
      <c r="F436" s="355">
        <f aca="true" t="shared" si="8" ref="F436:F441">SUM(G436:H436)</f>
        <v>7000</v>
      </c>
      <c r="G436" s="355">
        <v>0</v>
      </c>
      <c r="H436" s="363">
        <v>7000</v>
      </c>
      <c r="I436" s="278"/>
      <c r="J436" s="192"/>
    </row>
    <row r="437" spans="1:10" ht="15.75">
      <c r="A437" s="264">
        <v>8</v>
      </c>
      <c r="B437" s="742" t="s">
        <v>909</v>
      </c>
      <c r="C437" s="743"/>
      <c r="D437" s="232"/>
      <c r="E437" s="232"/>
      <c r="F437" s="355">
        <f t="shared" si="8"/>
        <v>35000</v>
      </c>
      <c r="G437" s="355">
        <v>0</v>
      </c>
      <c r="H437" s="363">
        <v>35000</v>
      </c>
      <c r="I437" s="278"/>
      <c r="J437" s="192"/>
    </row>
    <row r="438" spans="1:10" ht="15.75">
      <c r="A438" s="264">
        <v>9</v>
      </c>
      <c r="B438" s="742" t="s">
        <v>910</v>
      </c>
      <c r="C438" s="743"/>
      <c r="D438" s="232"/>
      <c r="E438" s="232"/>
      <c r="F438" s="355">
        <f t="shared" si="8"/>
        <v>5000</v>
      </c>
      <c r="G438" s="355">
        <v>0</v>
      </c>
      <c r="H438" s="363">
        <v>5000</v>
      </c>
      <c r="I438" s="278"/>
      <c r="J438" s="192"/>
    </row>
    <row r="439" spans="1:10" ht="15.75">
      <c r="A439" s="264">
        <v>10</v>
      </c>
      <c r="B439" s="742" t="s">
        <v>911</v>
      </c>
      <c r="C439" s="743"/>
      <c r="D439" s="232"/>
      <c r="E439" s="232"/>
      <c r="F439" s="355">
        <f t="shared" si="8"/>
        <v>12359.78</v>
      </c>
      <c r="G439" s="355">
        <v>0</v>
      </c>
      <c r="H439" s="363">
        <v>12359.78</v>
      </c>
      <c r="I439" s="278"/>
      <c r="J439" s="192"/>
    </row>
    <row r="440" spans="1:10" ht="15.75">
      <c r="A440" s="264">
        <v>11</v>
      </c>
      <c r="B440" s="742" t="s">
        <v>912</v>
      </c>
      <c r="C440" s="743"/>
      <c r="D440" s="206"/>
      <c r="E440" s="206"/>
      <c r="F440" s="355">
        <f t="shared" si="8"/>
        <v>5000</v>
      </c>
      <c r="G440" s="355">
        <v>0</v>
      </c>
      <c r="H440" s="363">
        <v>5000</v>
      </c>
      <c r="I440" s="278"/>
      <c r="J440" s="192"/>
    </row>
    <row r="441" spans="1:10" ht="15.75">
      <c r="A441" s="264">
        <v>12</v>
      </c>
      <c r="B441" s="742" t="s">
        <v>913</v>
      </c>
      <c r="C441" s="743"/>
      <c r="D441" s="206"/>
      <c r="E441" s="206"/>
      <c r="F441" s="355">
        <f t="shared" si="8"/>
        <v>5000</v>
      </c>
      <c r="G441" s="355">
        <v>0</v>
      </c>
      <c r="H441" s="363">
        <v>5000</v>
      </c>
      <c r="I441" s="278"/>
      <c r="J441" s="192"/>
    </row>
    <row r="442" spans="1:10" ht="15.75">
      <c r="A442" s="264"/>
      <c r="B442" s="546"/>
      <c r="C442" s="543"/>
      <c r="D442" s="206"/>
      <c r="E442" s="206"/>
      <c r="F442" s="206"/>
      <c r="G442" s="206"/>
      <c r="H442" s="232"/>
      <c r="I442" s="278"/>
      <c r="J442" s="192"/>
    </row>
    <row r="443" spans="1:10" ht="15.75">
      <c r="A443" s="264"/>
      <c r="B443" s="546"/>
      <c r="C443" s="543"/>
      <c r="D443" s="206"/>
      <c r="E443" s="206"/>
      <c r="F443" s="206"/>
      <c r="G443" s="206"/>
      <c r="H443" s="232"/>
      <c r="I443" s="278"/>
      <c r="J443" s="192"/>
    </row>
    <row r="444" spans="1:10" ht="15.75">
      <c r="A444" s="264"/>
      <c r="B444" s="546"/>
      <c r="C444" s="543"/>
      <c r="D444" s="206"/>
      <c r="E444" s="206"/>
      <c r="F444" s="206"/>
      <c r="G444" s="206"/>
      <c r="H444" s="232"/>
      <c r="I444" s="278"/>
      <c r="J444" s="192"/>
    </row>
    <row r="445" spans="1:10" ht="15.75">
      <c r="A445" s="264"/>
      <c r="B445" s="546"/>
      <c r="C445" s="543"/>
      <c r="D445" s="206"/>
      <c r="E445" s="206"/>
      <c r="F445" s="206"/>
      <c r="G445" s="206"/>
      <c r="H445" s="232"/>
      <c r="I445" s="278"/>
      <c r="J445" s="192"/>
    </row>
    <row r="446" spans="1:10" ht="15.75">
      <c r="A446" s="264"/>
      <c r="B446" s="546"/>
      <c r="C446" s="543"/>
      <c r="D446" s="206"/>
      <c r="E446" s="206"/>
      <c r="F446" s="206"/>
      <c r="G446" s="206"/>
      <c r="H446" s="232"/>
      <c r="I446" s="278"/>
      <c r="J446" s="192"/>
    </row>
    <row r="447" spans="1:10" s="194" customFormat="1" ht="15.75">
      <c r="A447" s="739" t="s">
        <v>571</v>
      </c>
      <c r="B447" s="740"/>
      <c r="C447" s="741"/>
      <c r="D447" s="315"/>
      <c r="E447" s="315" t="s">
        <v>562</v>
      </c>
      <c r="F447" s="292">
        <f>SUM(F430:F441)</f>
        <v>631723.93</v>
      </c>
      <c r="G447" s="312">
        <f>SUM(G430:G435)</f>
        <v>0</v>
      </c>
      <c r="H447" s="312">
        <f>SUM(H430:H441)</f>
        <v>631723.93</v>
      </c>
      <c r="I447" s="223"/>
      <c r="J447" s="223"/>
    </row>
    <row r="448" spans="1:10" s="194" customFormat="1" ht="15.75">
      <c r="A448" s="532"/>
      <c r="B448" s="532"/>
      <c r="C448" s="532"/>
      <c r="D448" s="514"/>
      <c r="E448" s="514"/>
      <c r="F448" s="533"/>
      <c r="G448" s="534"/>
      <c r="H448" s="534"/>
      <c r="I448" s="223"/>
      <c r="J448" s="223"/>
    </row>
    <row r="449" spans="1:4" ht="15.75" hidden="1">
      <c r="A449" s="194"/>
      <c r="B449" s="194" t="s">
        <v>908</v>
      </c>
      <c r="C449" s="194"/>
      <c r="D449" s="194"/>
    </row>
    <row r="450" ht="15.75" hidden="1">
      <c r="B450" s="186"/>
    </row>
    <row r="451" spans="1:10" ht="15.75" hidden="1">
      <c r="A451" s="689" t="s">
        <v>545</v>
      </c>
      <c r="B451" s="689" t="s">
        <v>566</v>
      </c>
      <c r="C451" s="729"/>
      <c r="D451" s="677" t="s">
        <v>651</v>
      </c>
      <c r="E451" s="679" t="s">
        <v>681</v>
      </c>
      <c r="F451" s="687" t="s">
        <v>579</v>
      </c>
      <c r="G451" s="687"/>
      <c r="H451" s="687"/>
      <c r="I451" s="309"/>
      <c r="J451" s="226"/>
    </row>
    <row r="452" spans="1:10" ht="47.25" hidden="1">
      <c r="A452" s="690"/>
      <c r="B452" s="690"/>
      <c r="C452" s="730"/>
      <c r="D452" s="678"/>
      <c r="E452" s="680"/>
      <c r="F452" s="227" t="s">
        <v>682</v>
      </c>
      <c r="G452" s="227" t="s">
        <v>557</v>
      </c>
      <c r="H452" s="227" t="s">
        <v>563</v>
      </c>
      <c r="I452" s="192"/>
      <c r="J452" s="228"/>
    </row>
    <row r="453" spans="1:10" ht="15.75" hidden="1">
      <c r="A453" s="232">
        <v>1</v>
      </c>
      <c r="B453" s="731">
        <v>2</v>
      </c>
      <c r="C453" s="732"/>
      <c r="D453" s="232">
        <v>3</v>
      </c>
      <c r="E453" s="232">
        <v>4</v>
      </c>
      <c r="F453" s="232">
        <v>5</v>
      </c>
      <c r="G453" s="232">
        <v>6</v>
      </c>
      <c r="H453" s="232">
        <v>7</v>
      </c>
      <c r="I453" s="278"/>
      <c r="J453" s="278"/>
    </row>
    <row r="454" spans="1:10" ht="15.75" hidden="1">
      <c r="A454" s="232">
        <v>1</v>
      </c>
      <c r="B454" s="742" t="s">
        <v>329</v>
      </c>
      <c r="C454" s="743"/>
      <c r="D454" s="232"/>
      <c r="E454" s="232"/>
      <c r="F454" s="355">
        <f>SUM(G454:H454)</f>
        <v>0</v>
      </c>
      <c r="G454" s="355">
        <v>0</v>
      </c>
      <c r="H454" s="355"/>
      <c r="I454" s="278"/>
      <c r="J454" s="278"/>
    </row>
    <row r="455" spans="1:10" ht="15.75" hidden="1">
      <c r="A455" s="232">
        <v>2</v>
      </c>
      <c r="B455" s="742" t="s">
        <v>328</v>
      </c>
      <c r="C455" s="743"/>
      <c r="D455" s="232"/>
      <c r="E455" s="232"/>
      <c r="F455" s="355">
        <f aca="true" t="shared" si="9" ref="F455:F460">SUM(G455:H455)</f>
        <v>0</v>
      </c>
      <c r="G455" s="355">
        <v>0</v>
      </c>
      <c r="H455" s="355"/>
      <c r="I455" s="278"/>
      <c r="J455" s="278"/>
    </row>
    <row r="456" spans="1:10" ht="15.75" hidden="1">
      <c r="A456" s="232">
        <v>3</v>
      </c>
      <c r="B456" s="742" t="s">
        <v>909</v>
      </c>
      <c r="C456" s="743"/>
      <c r="D456" s="232"/>
      <c r="E456" s="232"/>
      <c r="F456" s="355">
        <f t="shared" si="9"/>
        <v>0</v>
      </c>
      <c r="G456" s="355">
        <v>0</v>
      </c>
      <c r="H456" s="355"/>
      <c r="I456" s="278"/>
      <c r="J456" s="278"/>
    </row>
    <row r="457" spans="1:10" ht="15.75" hidden="1">
      <c r="A457" s="232">
        <v>4</v>
      </c>
      <c r="B457" s="742" t="s">
        <v>910</v>
      </c>
      <c r="C457" s="743"/>
      <c r="D457" s="232"/>
      <c r="E457" s="232"/>
      <c r="F457" s="355">
        <f t="shared" si="9"/>
        <v>0</v>
      </c>
      <c r="G457" s="355">
        <v>0</v>
      </c>
      <c r="H457" s="355"/>
      <c r="I457" s="278"/>
      <c r="J457" s="278"/>
    </row>
    <row r="458" spans="1:10" ht="15.75" hidden="1">
      <c r="A458" s="232">
        <v>5</v>
      </c>
      <c r="B458" s="742" t="s">
        <v>911</v>
      </c>
      <c r="C458" s="743"/>
      <c r="D458" s="232"/>
      <c r="E458" s="232"/>
      <c r="F458" s="355">
        <f t="shared" si="9"/>
        <v>0</v>
      </c>
      <c r="G458" s="355">
        <v>0</v>
      </c>
      <c r="H458" s="355"/>
      <c r="I458" s="278"/>
      <c r="J458" s="278"/>
    </row>
    <row r="459" spans="1:10" ht="15.75" hidden="1">
      <c r="A459" s="232">
        <v>7</v>
      </c>
      <c r="B459" s="742" t="s">
        <v>912</v>
      </c>
      <c r="C459" s="743"/>
      <c r="D459" s="206"/>
      <c r="E459" s="206"/>
      <c r="F459" s="355">
        <f t="shared" si="9"/>
        <v>0</v>
      </c>
      <c r="G459" s="355">
        <v>0</v>
      </c>
      <c r="H459" s="355"/>
      <c r="I459" s="278"/>
      <c r="J459" s="192"/>
    </row>
    <row r="460" spans="1:10" ht="15.75" hidden="1">
      <c r="A460" s="232">
        <v>8</v>
      </c>
      <c r="B460" s="742" t="s">
        <v>913</v>
      </c>
      <c r="C460" s="743"/>
      <c r="D460" s="206"/>
      <c r="E460" s="206"/>
      <c r="F460" s="355">
        <f t="shared" si="9"/>
        <v>0</v>
      </c>
      <c r="G460" s="355">
        <v>0</v>
      </c>
      <c r="H460" s="355"/>
      <c r="I460" s="278"/>
      <c r="J460" s="192"/>
    </row>
    <row r="461" spans="1:10" ht="16.5" hidden="1">
      <c r="A461" s="684" t="s">
        <v>571</v>
      </c>
      <c r="B461" s="735"/>
      <c r="C461" s="685"/>
      <c r="D461" s="200"/>
      <c r="E461" s="200" t="s">
        <v>562</v>
      </c>
      <c r="F461" s="521">
        <f>SUM(F454:F460)</f>
        <v>0</v>
      </c>
      <c r="G461" s="521">
        <f>SUM(G454:G460)</f>
        <v>0</v>
      </c>
      <c r="H461" s="521">
        <f>SUM(H454:H460)</f>
        <v>0</v>
      </c>
      <c r="I461" s="192"/>
      <c r="J461" s="192"/>
    </row>
    <row r="462" spans="1:11" ht="163.5" customHeight="1">
      <c r="A462" s="702" t="s">
        <v>692</v>
      </c>
      <c r="B462" s="702"/>
      <c r="C462" s="702"/>
      <c r="D462" s="702"/>
      <c r="E462" s="702"/>
      <c r="F462" s="702"/>
      <c r="G462" s="702"/>
      <c r="H462" s="702"/>
      <c r="I462" s="702"/>
      <c r="J462" s="702"/>
      <c r="K462" s="702"/>
    </row>
    <row r="463" ht="15.75">
      <c r="B463" s="186"/>
    </row>
    <row r="464" spans="1:4" ht="15.75">
      <c r="A464" s="194"/>
      <c r="B464" s="194" t="s">
        <v>947</v>
      </c>
      <c r="C464" s="194"/>
      <c r="D464" s="194"/>
    </row>
    <row r="465" ht="15.75">
      <c r="B465" s="186"/>
    </row>
    <row r="466" spans="1:10" ht="25.5" customHeight="1">
      <c r="A466" s="689" t="s">
        <v>545</v>
      </c>
      <c r="B466" s="689" t="s">
        <v>566</v>
      </c>
      <c r="C466" s="729"/>
      <c r="D466" s="677" t="s">
        <v>651</v>
      </c>
      <c r="E466" s="679" t="s">
        <v>681</v>
      </c>
      <c r="F466" s="687" t="s">
        <v>579</v>
      </c>
      <c r="G466" s="687"/>
      <c r="H466" s="687"/>
      <c r="I466" s="309"/>
      <c r="J466" s="226"/>
    </row>
    <row r="467" spans="1:10" ht="54.75" customHeight="1">
      <c r="A467" s="690"/>
      <c r="B467" s="690"/>
      <c r="C467" s="730"/>
      <c r="D467" s="678"/>
      <c r="E467" s="680"/>
      <c r="F467" s="227" t="s">
        <v>682</v>
      </c>
      <c r="G467" s="227" t="s">
        <v>557</v>
      </c>
      <c r="H467" s="227" t="s">
        <v>563</v>
      </c>
      <c r="I467" s="192"/>
      <c r="J467" s="228"/>
    </row>
    <row r="468" spans="1:10" ht="15.75" customHeight="1">
      <c r="A468" s="232">
        <v>1</v>
      </c>
      <c r="B468" s="731">
        <v>2</v>
      </c>
      <c r="C468" s="732"/>
      <c r="D468" s="232">
        <v>3</v>
      </c>
      <c r="E468" s="232">
        <v>4</v>
      </c>
      <c r="F468" s="232">
        <v>5</v>
      </c>
      <c r="G468" s="232">
        <v>6</v>
      </c>
      <c r="H468" s="232">
        <v>7</v>
      </c>
      <c r="I468" s="278"/>
      <c r="J468" s="278"/>
    </row>
    <row r="469" spans="1:10" ht="15.75">
      <c r="A469" s="206"/>
      <c r="B469" s="716"/>
      <c r="C469" s="718"/>
      <c r="D469" s="206"/>
      <c r="E469" s="206"/>
      <c r="F469" s="206"/>
      <c r="G469" s="232"/>
      <c r="H469" s="232"/>
      <c r="I469" s="278"/>
      <c r="J469" s="192"/>
    </row>
    <row r="470" spans="1:10" ht="15.75">
      <c r="A470" s="206"/>
      <c r="B470" s="716"/>
      <c r="C470" s="718"/>
      <c r="D470" s="206"/>
      <c r="E470" s="206"/>
      <c r="F470" s="206"/>
      <c r="G470" s="206"/>
      <c r="H470" s="232"/>
      <c r="I470" s="278"/>
      <c r="J470" s="192"/>
    </row>
    <row r="471" spans="1:10" ht="15.75">
      <c r="A471" s="684" t="s">
        <v>571</v>
      </c>
      <c r="B471" s="735"/>
      <c r="C471" s="685"/>
      <c r="D471" s="200"/>
      <c r="E471" s="200" t="s">
        <v>562</v>
      </c>
      <c r="F471" s="200"/>
      <c r="G471" s="206"/>
      <c r="H471" s="206"/>
      <c r="I471" s="192"/>
      <c r="J471" s="192"/>
    </row>
    <row r="474" spans="1:7" s="318" customFormat="1" ht="18.75">
      <c r="A474" s="316" t="s">
        <v>694</v>
      </c>
      <c r="B474" s="316"/>
      <c r="C474" s="316"/>
      <c r="D474" s="317"/>
      <c r="E474" s="317"/>
      <c r="F474" s="317"/>
      <c r="G474" s="317"/>
    </row>
    <row r="475" spans="1:4" s="318" customFormat="1" ht="15.75">
      <c r="A475" s="319"/>
      <c r="B475" s="320"/>
      <c r="C475" s="320"/>
      <c r="D475" s="321"/>
    </row>
    <row r="476" spans="1:5" s="318" customFormat="1" ht="42" customHeight="1">
      <c r="A476" s="322" t="s">
        <v>545</v>
      </c>
      <c r="B476" s="749" t="s">
        <v>695</v>
      </c>
      <c r="C476" s="749"/>
      <c r="D476" s="323" t="s">
        <v>696</v>
      </c>
      <c r="E476" s="324"/>
    </row>
    <row r="477" spans="1:5" s="318" customFormat="1" ht="24.75" customHeight="1">
      <c r="A477" s="325">
        <v>1</v>
      </c>
      <c r="B477" s="744" t="s">
        <v>697</v>
      </c>
      <c r="C477" s="744"/>
      <c r="D477" s="326">
        <f>J28+G105+G219+G251+F311+E368+G413+H140+G461+G447+G423+E388+F336++G228+G123+G73+J52</f>
        <v>38224991.067999996</v>
      </c>
      <c r="E477" s="324"/>
    </row>
    <row r="478" spans="1:5" s="318" customFormat="1" ht="24.75" customHeight="1">
      <c r="A478" s="325">
        <v>2</v>
      </c>
      <c r="B478" s="744" t="s">
        <v>563</v>
      </c>
      <c r="C478" s="744"/>
      <c r="D478" s="326">
        <f>H447+F368+G311+H251+H219+H158+H413+G314+H461+H423+F388+G336+H261+H228+H172+H399</f>
        <v>12938730.270000001</v>
      </c>
      <c r="E478" s="515"/>
    </row>
    <row r="479" spans="1:5" s="318" customFormat="1" ht="25.5" customHeight="1">
      <c r="A479" s="745" t="s">
        <v>698</v>
      </c>
      <c r="B479" s="746"/>
      <c r="C479" s="747"/>
      <c r="D479" s="327">
        <f>SUM(D477:D478)</f>
        <v>51163721.338</v>
      </c>
      <c r="E479" s="515"/>
    </row>
    <row r="482" spans="1:5" ht="15.75">
      <c r="A482" s="186" t="s">
        <v>699</v>
      </c>
      <c r="C482" s="186" t="s">
        <v>700</v>
      </c>
      <c r="E482" s="186" t="s">
        <v>701</v>
      </c>
    </row>
    <row r="484" spans="1:3" ht="15.75">
      <c r="A484" s="186" t="s">
        <v>13</v>
      </c>
      <c r="C484" s="186" t="s">
        <v>700</v>
      </c>
    </row>
    <row r="485" spans="1:7" s="318" customFormat="1" ht="15.75">
      <c r="A485" s="328"/>
      <c r="B485" s="329"/>
      <c r="C485" s="329"/>
      <c r="D485" s="748"/>
      <c r="E485" s="748"/>
      <c r="F485" s="748"/>
      <c r="G485" s="748"/>
    </row>
  </sheetData>
  <sheetProtection/>
  <mergeCells count="293">
    <mergeCell ref="A399:C399"/>
    <mergeCell ref="F394:H394"/>
    <mergeCell ref="B396:C396"/>
    <mergeCell ref="B397:C397"/>
    <mergeCell ref="B440:C440"/>
    <mergeCell ref="B441:C441"/>
    <mergeCell ref="B435:C435"/>
    <mergeCell ref="B429:C429"/>
    <mergeCell ref="B430:C430"/>
    <mergeCell ref="B431:C431"/>
    <mergeCell ref="B478:C478"/>
    <mergeCell ref="A479:C479"/>
    <mergeCell ref="D485:E485"/>
    <mergeCell ref="F485:G485"/>
    <mergeCell ref="B468:C468"/>
    <mergeCell ref="B469:C469"/>
    <mergeCell ref="B470:C470"/>
    <mergeCell ref="A471:C471"/>
    <mergeCell ref="B476:C476"/>
    <mergeCell ref="B477:C477"/>
    <mergeCell ref="B458:C458"/>
    <mergeCell ref="B459:C459"/>
    <mergeCell ref="B460:C460"/>
    <mergeCell ref="A461:C461"/>
    <mergeCell ref="A462:K462"/>
    <mergeCell ref="A466:A467"/>
    <mergeCell ref="B466:C467"/>
    <mergeCell ref="D466:D467"/>
    <mergeCell ref="E466:E467"/>
    <mergeCell ref="F466:H466"/>
    <mergeCell ref="F451:H451"/>
    <mergeCell ref="B453:C453"/>
    <mergeCell ref="B454:C454"/>
    <mergeCell ref="B455:C455"/>
    <mergeCell ref="B456:C456"/>
    <mergeCell ref="B457:C457"/>
    <mergeCell ref="A447:C447"/>
    <mergeCell ref="A451:A452"/>
    <mergeCell ref="B451:C452"/>
    <mergeCell ref="D451:D452"/>
    <mergeCell ref="E451:E452"/>
    <mergeCell ref="B436:C436"/>
    <mergeCell ref="B437:C437"/>
    <mergeCell ref="B438:C438"/>
    <mergeCell ref="B439:C439"/>
    <mergeCell ref="B432:C432"/>
    <mergeCell ref="B433:C433"/>
    <mergeCell ref="B434:C434"/>
    <mergeCell ref="A423:C423"/>
    <mergeCell ref="A427:A428"/>
    <mergeCell ref="B427:C428"/>
    <mergeCell ref="D427:D428"/>
    <mergeCell ref="E427:E428"/>
    <mergeCell ref="F427:H427"/>
    <mergeCell ref="D417:D418"/>
    <mergeCell ref="E417:E418"/>
    <mergeCell ref="F417:H417"/>
    <mergeCell ref="B419:C419"/>
    <mergeCell ref="B420:C420"/>
    <mergeCell ref="B422:C422"/>
    <mergeCell ref="B405:C405"/>
    <mergeCell ref="B406:C406"/>
    <mergeCell ref="B407:C407"/>
    <mergeCell ref="B408:C408"/>
    <mergeCell ref="A413:C413"/>
    <mergeCell ref="A417:A418"/>
    <mergeCell ref="B417:C418"/>
    <mergeCell ref="B409:C409"/>
    <mergeCell ref="B411:C411"/>
    <mergeCell ref="A390:K390"/>
    <mergeCell ref="A403:A404"/>
    <mergeCell ref="B403:C404"/>
    <mergeCell ref="D403:D404"/>
    <mergeCell ref="E403:E404"/>
    <mergeCell ref="F403:H403"/>
    <mergeCell ref="A394:A395"/>
    <mergeCell ref="B394:C395"/>
    <mergeCell ref="D394:D395"/>
    <mergeCell ref="E394:E395"/>
    <mergeCell ref="A368:B368"/>
    <mergeCell ref="A372:A373"/>
    <mergeCell ref="B372:B373"/>
    <mergeCell ref="C372:C373"/>
    <mergeCell ref="D372:F372"/>
    <mergeCell ref="A388:B388"/>
    <mergeCell ref="E318:G318"/>
    <mergeCell ref="A336:B336"/>
    <mergeCell ref="A338:K338"/>
    <mergeCell ref="A342:A343"/>
    <mergeCell ref="B342:B343"/>
    <mergeCell ref="C342:C343"/>
    <mergeCell ref="D342:F342"/>
    <mergeCell ref="A311:B311"/>
    <mergeCell ref="A314:B314"/>
    <mergeCell ref="A318:A319"/>
    <mergeCell ref="B318:B319"/>
    <mergeCell ref="C318:C319"/>
    <mergeCell ref="D318:D319"/>
    <mergeCell ref="A272:B272"/>
    <mergeCell ref="A274:K274"/>
    <mergeCell ref="A278:A279"/>
    <mergeCell ref="B278:B279"/>
    <mergeCell ref="C278:C279"/>
    <mergeCell ref="D278:D279"/>
    <mergeCell ref="E278:G278"/>
    <mergeCell ref="F255:H255"/>
    <mergeCell ref="A261:B261"/>
    <mergeCell ref="A263:K263"/>
    <mergeCell ref="A267:A268"/>
    <mergeCell ref="B267:B268"/>
    <mergeCell ref="C267:C268"/>
    <mergeCell ref="D267:D268"/>
    <mergeCell ref="E267:G267"/>
    <mergeCell ref="A251:B251"/>
    <mergeCell ref="A255:A256"/>
    <mergeCell ref="B255:B256"/>
    <mergeCell ref="C255:C256"/>
    <mergeCell ref="D255:D256"/>
    <mergeCell ref="E255:E256"/>
    <mergeCell ref="A239:B239"/>
    <mergeCell ref="A241:K241"/>
    <mergeCell ref="A245:A246"/>
    <mergeCell ref="B245:B246"/>
    <mergeCell ref="C245:C246"/>
    <mergeCell ref="D245:D246"/>
    <mergeCell ref="E245:E246"/>
    <mergeCell ref="F245:H245"/>
    <mergeCell ref="F223:H223"/>
    <mergeCell ref="A228:B228"/>
    <mergeCell ref="A230:K230"/>
    <mergeCell ref="A234:A235"/>
    <mergeCell ref="B234:B235"/>
    <mergeCell ref="C234:C235"/>
    <mergeCell ref="D234:D235"/>
    <mergeCell ref="E234:G234"/>
    <mergeCell ref="A219:B219"/>
    <mergeCell ref="A223:A224"/>
    <mergeCell ref="B223:B224"/>
    <mergeCell ref="C223:C224"/>
    <mergeCell ref="D223:D224"/>
    <mergeCell ref="E223:E224"/>
    <mergeCell ref="A202:B202"/>
    <mergeCell ref="A204:K204"/>
    <mergeCell ref="A206:K206"/>
    <mergeCell ref="A214:A215"/>
    <mergeCell ref="B214:B215"/>
    <mergeCell ref="C214:C215"/>
    <mergeCell ref="D214:D215"/>
    <mergeCell ref="E214:E215"/>
    <mergeCell ref="F214:H214"/>
    <mergeCell ref="A187:B187"/>
    <mergeCell ref="A189:K189"/>
    <mergeCell ref="A191:K191"/>
    <mergeCell ref="A197:A198"/>
    <mergeCell ref="B197:B198"/>
    <mergeCell ref="C197:C198"/>
    <mergeCell ref="D197:D198"/>
    <mergeCell ref="E197:G197"/>
    <mergeCell ref="A176:K176"/>
    <mergeCell ref="A177:E177"/>
    <mergeCell ref="A182:A183"/>
    <mergeCell ref="B182:B183"/>
    <mergeCell ref="C182:C183"/>
    <mergeCell ref="D182:D183"/>
    <mergeCell ref="E182:G182"/>
    <mergeCell ref="B168:C168"/>
    <mergeCell ref="B169:C169"/>
    <mergeCell ref="B170:C170"/>
    <mergeCell ref="B171:C171"/>
    <mergeCell ref="A172:C172"/>
    <mergeCell ref="A174:K174"/>
    <mergeCell ref="A158:C158"/>
    <mergeCell ref="A160:K160"/>
    <mergeCell ref="A166:A167"/>
    <mergeCell ref="B166:C167"/>
    <mergeCell ref="D166:D167"/>
    <mergeCell ref="E166:E167"/>
    <mergeCell ref="F166:H166"/>
    <mergeCell ref="B152:C152"/>
    <mergeCell ref="B153:C153"/>
    <mergeCell ref="B154:C154"/>
    <mergeCell ref="B155:C155"/>
    <mergeCell ref="B156:C156"/>
    <mergeCell ref="B157:C157"/>
    <mergeCell ref="A144:K144"/>
    <mergeCell ref="A150:A151"/>
    <mergeCell ref="B150:C151"/>
    <mergeCell ref="D150:D151"/>
    <mergeCell ref="E150:E151"/>
    <mergeCell ref="F150:H150"/>
    <mergeCell ref="B136:D136"/>
    <mergeCell ref="B137:D137"/>
    <mergeCell ref="B138:D138"/>
    <mergeCell ref="B139:D139"/>
    <mergeCell ref="A140:D140"/>
    <mergeCell ref="A142:K142"/>
    <mergeCell ref="A123:D123"/>
    <mergeCell ref="A126:K126"/>
    <mergeCell ref="B127:F127"/>
    <mergeCell ref="A128:K128"/>
    <mergeCell ref="A134:A135"/>
    <mergeCell ref="B134:D135"/>
    <mergeCell ref="E134:E135"/>
    <mergeCell ref="F134:F135"/>
    <mergeCell ref="G134:I134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A105:D105"/>
    <mergeCell ref="B107:I107"/>
    <mergeCell ref="A109:A110"/>
    <mergeCell ref="B109:D110"/>
    <mergeCell ref="E109:E110"/>
    <mergeCell ref="F109:H109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A73:B73"/>
    <mergeCell ref="B75:I75"/>
    <mergeCell ref="A77:A78"/>
    <mergeCell ref="B77:D78"/>
    <mergeCell ref="E77:E78"/>
    <mergeCell ref="F77:H77"/>
    <mergeCell ref="A64:B64"/>
    <mergeCell ref="B66:F66"/>
    <mergeCell ref="A68:A69"/>
    <mergeCell ref="B68:B69"/>
    <mergeCell ref="C68:C69"/>
    <mergeCell ref="D68:D69"/>
    <mergeCell ref="E68:E69"/>
    <mergeCell ref="F68:H68"/>
    <mergeCell ref="B56:K56"/>
    <mergeCell ref="B57:I57"/>
    <mergeCell ref="A59:A60"/>
    <mergeCell ref="B59:B60"/>
    <mergeCell ref="C59:C60"/>
    <mergeCell ref="D59:D60"/>
    <mergeCell ref="E59:E60"/>
    <mergeCell ref="F59:H59"/>
    <mergeCell ref="I38:I40"/>
    <mergeCell ref="J38:J40"/>
    <mergeCell ref="K38:K40"/>
    <mergeCell ref="E39:G39"/>
    <mergeCell ref="A52:B52"/>
    <mergeCell ref="A55:K55"/>
    <mergeCell ref="I12:I14"/>
    <mergeCell ref="J12:J14"/>
    <mergeCell ref="K12:K14"/>
    <mergeCell ref="E13:G13"/>
    <mergeCell ref="A34:B34"/>
    <mergeCell ref="A38:A40"/>
    <mergeCell ref="B38:B40"/>
    <mergeCell ref="C38:C40"/>
    <mergeCell ref="D38:G38"/>
    <mergeCell ref="H38:H40"/>
    <mergeCell ref="B96:D96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B97:D97"/>
    <mergeCell ref="B98:D98"/>
    <mergeCell ref="B99:D99"/>
    <mergeCell ref="B100:D100"/>
    <mergeCell ref="B101:D101"/>
    <mergeCell ref="B91:D91"/>
    <mergeCell ref="B92:D92"/>
    <mergeCell ref="B93:D93"/>
    <mergeCell ref="B94:D94"/>
    <mergeCell ref="B95:D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56" max="255" man="1"/>
    <brk id="127" max="255" man="1"/>
    <brk id="175" max="255" man="1"/>
    <brk id="231" max="255" man="1"/>
    <brk id="337" max="10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2019-08-09T04:01:16Z</dcterms:modified>
  <cp:category/>
  <cp:version/>
  <cp:contentType/>
  <cp:contentStatus/>
</cp:coreProperties>
</file>