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2015" tabRatio="828" firstSheet="2" activeTab="10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1">'раздел 2  на 01.01.19 '!$A$1:$C$158</definedName>
    <definedName name="_xlnm.Print_Area" localSheetId="2">'раздел 3 (табл.2,3,4)'!$A$1:$N$497</definedName>
    <definedName name="_xlnm.Print_Area" localSheetId="7">'раздел 5(табл.7)'!$A$1:$G$36</definedName>
    <definedName name="_xlnm.Print_Area" localSheetId="5">'табл.5'!$A$1:$L$34</definedName>
    <definedName name="_xlnm.Print_Area" localSheetId="0">'титульный лист + раздел 1'!$A$1:$H$54</definedName>
  </definedNames>
  <calcPr fullCalcOnLoad="1"/>
</workbook>
</file>

<file path=xl/sharedStrings.xml><?xml version="1.0" encoding="utf-8"?>
<sst xmlns="http://schemas.openxmlformats.org/spreadsheetml/2006/main" count="2632" uniqueCount="753">
  <si>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</si>
  <si>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</si>
  <si>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</si>
  <si>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</si>
  <si>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</si>
  <si>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</si>
  <si>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</si>
  <si>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</si>
  <si>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</si>
  <si>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</si>
  <si>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</si>
  <si>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</si>
  <si>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</si>
  <si>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</si>
  <si>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</si>
  <si>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</si>
  <si>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</si>
  <si>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</si>
  <si>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</si>
  <si>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</si>
  <si>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</si>
  <si>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</si>
  <si>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</si>
  <si>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</si>
  <si>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</si>
  <si>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</si>
  <si>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</si>
  <si>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</si>
  <si>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</si>
  <si>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</si>
  <si>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</si>
  <si>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</si>
  <si>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</si>
  <si>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</si>
  <si>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</si>
  <si>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</si>
  <si>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</si>
  <si>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</si>
  <si>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</si>
  <si>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</si>
  <si>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</si>
  <si>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</si>
  <si>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</si>
  <si>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</si>
  <si>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</si>
  <si>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</si>
  <si>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</si>
  <si>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</si>
  <si>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</si>
  <si>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</si>
  <si>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</si>
  <si>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</si>
  <si>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</si>
  <si>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</si>
  <si>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</si>
  <si>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</si>
  <si>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</si>
  <si>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</si>
  <si>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</si>
  <si>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</si>
  <si>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</si>
  <si>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</si>
  <si>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</si>
  <si>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</si>
  <si>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</si>
  <si>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</si>
  <si>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</si>
  <si>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</si>
  <si>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</si>
  <si>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</si>
  <si>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</si>
  <si>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</si>
  <si>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</si>
  <si>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</si>
  <si>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</si>
  <si>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</si>
  <si>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</si>
  <si>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</si>
  <si>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</si>
  <si>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</si>
  <si>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</si>
  <si>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</si>
  <si>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</si>
  <si>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</si>
  <si>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</si>
  <si>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</si>
  <si>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</si>
  <si>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</si>
  <si>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</si>
  <si>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</si>
  <si>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</si>
  <si>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</si>
  <si>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</si>
  <si>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</si>
  <si>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</si>
  <si>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</si>
  <si>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</si>
  <si>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</si>
  <si>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</si>
  <si>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</si>
  <si>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</si>
  <si>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</si>
  <si>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</si>
  <si>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</si>
  <si>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</si>
  <si>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</si>
  <si>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</si>
  <si>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</si>
  <si>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</si>
  <si>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</si>
  <si>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</si>
  <si>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</si>
  <si>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</si>
  <si>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</si>
  <si>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</si>
  <si>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</si>
  <si>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</si>
  <si>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</si>
  <si>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</si>
  <si>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</si>
  <si>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</si>
  <si>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</si>
  <si>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</si>
  <si>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</si>
  <si>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</si>
  <si>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</si>
  <si>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</si>
  <si>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</si>
  <si>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</si>
  <si>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</si>
  <si>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</si>
  <si>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</si>
  <si>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</si>
  <si>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</si>
  <si>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</si>
  <si>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</si>
  <si>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</si>
  <si>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</si>
  <si>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</si>
  <si>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</si>
  <si>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</si>
  <si>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</si>
  <si>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</si>
  <si>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</si>
  <si>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</si>
  <si>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</si>
  <si>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</si>
  <si>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</si>
  <si>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</si>
  <si>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</si>
  <si>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</si>
  <si>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</si>
  <si>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</si>
  <si>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</si>
  <si>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</si>
  <si>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</si>
  <si>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</si>
  <si>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</si>
  <si>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</si>
  <si>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</si>
  <si>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</si>
  <si>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</si>
  <si>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</si>
  <si>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</si>
  <si>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</si>
  <si>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</si>
  <si>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</si>
  <si>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</si>
  <si>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</si>
  <si>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</si>
  <si>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</si>
  <si>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</si>
  <si>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</si>
  <si>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</si>
  <si>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</si>
  <si>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</si>
  <si>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</si>
  <si>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</si>
  <si>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</si>
  <si>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</si>
  <si>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</si>
  <si>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</si>
  <si>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</si>
  <si>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</si>
  <si>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</si>
  <si>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</si>
  <si>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</si>
  <si>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</si>
  <si>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</si>
  <si>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</si>
  <si>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</si>
  <si>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</si>
  <si>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</si>
  <si>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</si>
  <si>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</si>
  <si>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</si>
  <si>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</si>
  <si>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</si>
  <si>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</si>
  <si>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</si>
  <si>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</si>
  <si>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</si>
  <si>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</si>
  <si>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</si>
  <si>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</si>
  <si>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</si>
  <si>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</si>
  <si>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</si>
  <si>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</si>
  <si>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</si>
  <si>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</si>
  <si>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</si>
  <si>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</si>
  <si>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</si>
  <si>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</si>
  <si>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</si>
  <si>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</si>
  <si>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</si>
  <si>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</si>
  <si>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</si>
  <si>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</si>
  <si>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</si>
  <si>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</si>
  <si>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</si>
  <si>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</si>
  <si>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</si>
  <si>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</si>
  <si>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</si>
  <si>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</si>
  <si>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</si>
  <si>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</si>
  <si>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</si>
  <si>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</si>
  <si>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</si>
  <si>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</si>
  <si>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</si>
  <si>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</si>
  <si>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</si>
  <si>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</si>
  <si>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</si>
  <si>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</si>
  <si>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</si>
  <si>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</si>
  <si>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</si>
  <si>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</si>
  <si>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</si>
  <si>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</si>
  <si>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</si>
  <si>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</si>
  <si>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</si>
  <si>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</si>
  <si>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</si>
  <si>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</si>
  <si>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</si>
  <si>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</si>
  <si>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</si>
  <si>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</si>
  <si>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</si>
  <si>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</si>
  <si>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</si>
  <si>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</si>
  <si>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</si>
  <si>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</si>
  <si>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</si>
  <si>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</si>
  <si>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</si>
  <si>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</si>
  <si>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</si>
  <si>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</si>
  <si>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</si>
  <si>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</si>
  <si>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</si>
  <si>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</si>
  <si>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</si>
  <si>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</si>
  <si>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</si>
  <si>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</si>
  <si>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</si>
  <si>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</si>
  <si>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</si>
  <si>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</si>
  <si>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</si>
  <si>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</si>
  <si>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</si>
  <si>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</si>
  <si>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</si>
  <si>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</si>
  <si>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</si>
  <si>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</si>
  <si>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</si>
  <si>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</si>
  <si>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</si>
  <si>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</si>
  <si>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</si>
  <si>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</si>
  <si>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</si>
  <si>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</si>
  <si>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</si>
  <si>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</si>
  <si>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</si>
  <si>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</si>
  <si>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</si>
  <si>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</si>
  <si>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</si>
  <si>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</si>
  <si>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</si>
  <si>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</si>
  <si>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</si>
  <si>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</si>
  <si>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</si>
  <si>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</si>
  <si>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</si>
  <si>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</si>
  <si>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</si>
  <si>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</si>
  <si>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</si>
  <si>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</si>
  <si>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</si>
  <si>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</si>
  <si>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</si>
  <si>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</si>
  <si>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</si>
  <si>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</si>
  <si>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</si>
  <si>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</si>
  <si>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</si>
  <si>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</si>
  <si>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</si>
  <si>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</si>
  <si>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</si>
  <si>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</si>
  <si>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</si>
  <si>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</si>
  <si>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</si>
  <si>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</si>
  <si>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</si>
  <si>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</si>
  <si>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</si>
  <si>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</si>
  <si>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</si>
  <si>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</si>
  <si>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</si>
  <si>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</si>
  <si>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</si>
  <si>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</si>
  <si>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</si>
  <si>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</si>
  <si>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</si>
  <si>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</si>
  <si>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</si>
  <si>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</si>
  <si>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</si>
  <si>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</si>
  <si>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</si>
  <si>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</si>
  <si>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</si>
  <si>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</si>
  <si>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</si>
  <si>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</si>
  <si>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</si>
  <si>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</si>
  <si>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</si>
  <si>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</si>
  <si>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</si>
  <si>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</si>
  <si>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</si>
  <si>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</si>
  <si>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</si>
  <si>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</si>
  <si>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</si>
  <si>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</si>
  <si>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</si>
  <si>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</si>
  <si>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</si>
  <si>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</si>
  <si>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</si>
  <si>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</si>
  <si>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</si>
  <si>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</si>
  <si>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</si>
  <si>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</si>
  <si>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</si>
  <si>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</si>
  <si>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</si>
  <si>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</si>
  <si>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</si>
  <si>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</si>
  <si>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</si>
  <si>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</si>
  <si>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</si>
  <si>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</si>
  <si>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</si>
  <si>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</si>
  <si>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</si>
  <si>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</si>
  <si>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</si>
  <si>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</si>
  <si>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</si>
  <si>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</si>
  <si>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</si>
  <si>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</si>
  <si>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</si>
  <si>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</si>
  <si>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</si>
  <si>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</si>
  <si>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</si>
  <si>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</si>
  <si>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</si>
  <si>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</si>
  <si>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</si>
  <si>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</si>
  <si>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</si>
  <si>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</si>
  <si>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</si>
  <si>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</si>
  <si>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</si>
  <si>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</si>
  <si>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</si>
  <si>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</si>
  <si>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</si>
  <si>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</si>
  <si>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</si>
  <si>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</si>
  <si>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</si>
  <si>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</si>
  <si>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</si>
  <si>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</si>
  <si>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</si>
  <si>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</si>
  <si>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</si>
  <si>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</si>
  <si>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</si>
  <si>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</si>
  <si>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</si>
  <si>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</si>
  <si>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</si>
  <si>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</si>
  <si>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</si>
  <si>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</si>
  <si>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</si>
  <si>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</si>
  <si>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</si>
  <si>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</si>
  <si>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</si>
  <si>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</si>
  <si>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</si>
  <si>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</si>
  <si>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</si>
  <si>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</si>
  <si>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</si>
  <si>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</si>
  <si>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</si>
  <si>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</si>
  <si>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</si>
  <si>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</si>
  <si>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</si>
  <si>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</si>
  <si>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</si>
  <si>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</si>
  <si>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</si>
  <si>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</si>
  <si>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</si>
  <si>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</si>
  <si>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</si>
  <si>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</si>
  <si>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</si>
  <si>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</si>
  <si>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</si>
  <si>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</si>
  <si>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</si>
  <si>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</si>
  <si>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</si>
  <si>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</si>
  <si>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</si>
  <si>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</si>
  <si>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</si>
  <si>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</si>
  <si>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</si>
  <si>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</si>
  <si>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</si>
  <si>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</si>
  <si>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</si>
  <si>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</si>
  <si>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</si>
  <si>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</si>
  <si>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</si>
  <si>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</si>
  <si>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</si>
  <si>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</si>
  <si>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</si>
  <si>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</si>
  <si>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</si>
  <si>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</si>
  <si>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</si>
  <si>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</si>
  <si>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</si>
  <si>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</si>
  <si>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</si>
  <si>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</si>
  <si>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</si>
  <si>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</si>
  <si>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</si>
  <si>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</si>
  <si>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</si>
  <si>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</si>
  <si>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</si>
  <si>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</si>
  <si>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</si>
  <si>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</si>
  <si>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</si>
  <si>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</si>
  <si>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</si>
  <si>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</si>
  <si>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</si>
  <si>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</si>
  <si>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</si>
  <si>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</si>
  <si>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</si>
  <si>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на 01 января 2019  г.</t>
  </si>
  <si>
    <t>на   01 января 2019  г.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</si>
  <si>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</si>
  <si>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</si>
  <si>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</si>
  <si>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</si>
  <si>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</si>
  <si>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</si>
  <si>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</si>
  <si>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</si>
  <si>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</si>
  <si>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</si>
  <si>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</si>
  <si>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</si>
  <si>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</si>
  <si>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</si>
  <si>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</si>
  <si>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</si>
  <si>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</si>
  <si>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</si>
  <si>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</si>
  <si>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</si>
  <si>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И.А.Галанова</t>
  </si>
  <si>
    <t>телефон (342) 226-17-10</t>
  </si>
  <si>
    <t>«21»  февраля       2019г.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</si>
  <si>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</si>
  <si>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</si>
  <si>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</si>
  <si>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</si>
  <si>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</si>
  <si>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</si>
  <si>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</si>
  <si>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</si>
  <si>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</si>
  <si>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</si>
  <si>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</si>
  <si>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</si>
  <si>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</si>
  <si>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</si>
  <si>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</si>
  <si>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</si>
  <si>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</si>
  <si>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</si>
  <si>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</si>
  <si>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</si>
  <si>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</si>
  <si>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</si>
  <si>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</si>
  <si>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</si>
  <si>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</si>
  <si>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</si>
  <si>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</si>
  <si>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</si>
  <si>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</si>
  <si>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</si>
  <si>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</si>
  <si>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</si>
  <si>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</si>
  <si>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</si>
  <si>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</si>
  <si>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</si>
  <si>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</si>
  <si>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</si>
  <si>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</si>
  <si>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</si>
  <si>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</si>
  <si>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</si>
  <si>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</si>
  <si>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</si>
  <si>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</si>
  <si>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</si>
  <si>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</si>
  <si>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</si>
  <si>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</si>
  <si>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</si>
  <si>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</si>
  <si>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</si>
  <si>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</si>
  <si>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</si>
  <si>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</si>
  <si>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</si>
  <si>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</si>
  <si>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</si>
  <si>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</si>
  <si>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</si>
  <si>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</si>
  <si>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</si>
  <si>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</si>
  <si>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</si>
  <si>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</si>
  <si>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</si>
  <si>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</si>
  <si>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</si>
  <si>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</si>
  <si>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</si>
  <si>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</si>
  <si>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</si>
  <si>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</si>
  <si>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</si>
  <si>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</si>
  <si>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</si>
  <si>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</si>
  <si>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</si>
  <si>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</si>
  <si>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</si>
  <si>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</si>
  <si>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</si>
  <si>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</si>
  <si>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</si>
  <si>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</si>
  <si>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</si>
  <si>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</si>
  <si>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</si>
  <si>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</si>
  <si>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</si>
  <si>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</si>
  <si>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</si>
  <si>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</si>
  <si>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</si>
  <si>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</si>
  <si>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</si>
  <si>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</si>
  <si>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</si>
  <si>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</si>
  <si>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</si>
  <si>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</si>
  <si>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</si>
  <si>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</si>
  <si>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</si>
  <si>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</si>
  <si>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</si>
  <si>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</si>
  <si>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</si>
  <si>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</si>
  <si>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</si>
  <si>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</si>
  <si>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</si>
  <si>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</si>
  <si>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</si>
  <si>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</si>
  <si>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</si>
  <si>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</si>
  <si>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</si>
  <si>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</si>
  <si>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</si>
  <si>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</si>
  <si>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</si>
  <si>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</si>
  <si>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</si>
  <si>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</si>
  <si>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</si>
  <si>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</si>
  <si>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</si>
  <si>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</si>
  <si>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</si>
  <si>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</si>
  <si>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</si>
  <si>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</si>
  <si>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</si>
  <si>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</si>
  <si>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</si>
  <si>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</si>
  <si>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</si>
  <si>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</si>
  <si>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</si>
  <si>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</si>
  <si>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</si>
  <si>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</si>
  <si>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</si>
  <si>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</si>
  <si>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</si>
  <si>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</si>
  <si>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</si>
  <si>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</si>
  <si>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</si>
  <si>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</si>
  <si>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</si>
  <si>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</si>
  <si>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</si>
  <si>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</si>
  <si>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</si>
  <si>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</si>
  <si>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</si>
  <si>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</si>
  <si>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</si>
  <si>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</si>
  <si>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</si>
  <si>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</si>
  <si>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</si>
  <si>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(И.А.Галанова)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</si>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</sst>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82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82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82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2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82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82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83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84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85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7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8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9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91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3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4" fillId="0" borderId="0" applyNumberFormat="0" applyFill="0" applyBorder="0" applyAlignment="0" applyProtection="0"/>
    <xf numFmtId="0" fontId="95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9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57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0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00" fillId="0" borderId="32" xfId="0" applyFont="1" applyBorder="1" applyAlignment="1">
      <alignment vertical="top" wrapText="1"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00" fillId="0" borderId="33" xfId="0" applyFont="1" applyBorder="1" applyAlignment="1">
      <alignment/>
    </xf>
    <xf numFmtId="0" fontId="0" fillId="0" borderId="33" xfId="0" applyBorder="1" applyAlignment="1">
      <alignment/>
    </xf>
    <xf numFmtId="2" fontId="100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00" fillId="0" borderId="0" xfId="0" applyFont="1" applyFill="1" applyAlignment="1">
      <alignment horizontal="center"/>
    </xf>
    <xf numFmtId="0" fontId="100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90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0" fillId="0" borderId="13" xfId="0" applyFont="1" applyBorder="1" applyAlignment="1">
      <alignment horizontal="center"/>
    </xf>
    <xf numFmtId="0" fontId="9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03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00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06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06" fillId="105" borderId="13" xfId="0" applyFont="1" applyFill="1" applyBorder="1" applyAlignment="1">
      <alignment horizontal="center" vertical="top" wrapText="1"/>
    </xf>
    <xf numFmtId="0" fontId="106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06" fillId="0" borderId="36" xfId="0" applyFont="1" applyBorder="1" applyAlignment="1">
      <alignment vertical="center" wrapText="1"/>
    </xf>
    <xf numFmtId="0" fontId="106" fillId="0" borderId="13" xfId="0" applyFont="1" applyBorder="1" applyAlignment="1">
      <alignment horizontal="center" vertical="top" wrapText="1"/>
    </xf>
    <xf numFmtId="0" fontId="106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06" fillId="0" borderId="36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horizontal="center" vertical="top" wrapText="1"/>
    </xf>
    <xf numFmtId="49" fontId="106" fillId="0" borderId="13" xfId="0" applyNumberFormat="1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06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06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06" fillId="0" borderId="36" xfId="0" applyFont="1" applyBorder="1" applyAlignment="1">
      <alignment horizontal="left" vertical="top" wrapText="1"/>
    </xf>
    <xf numFmtId="0" fontId="106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4" fontId="106" fillId="0" borderId="13" xfId="0" applyNumberFormat="1" applyFont="1" applyBorder="1" applyAlignment="1">
      <alignment horizontal="center" vertical="top" wrapText="1"/>
    </xf>
    <xf numFmtId="0" fontId="106" fillId="0" borderId="35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7" fillId="0" borderId="30" xfId="0" applyFont="1" applyFill="1" applyBorder="1" applyAlignment="1">
      <alignment horizontal="left" vertical="center" wrapText="1"/>
    </xf>
    <xf numFmtId="0" fontId="106" fillId="0" borderId="31" xfId="0" applyFont="1" applyFill="1" applyBorder="1" applyAlignment="1">
      <alignment horizontal="center" vertical="top" wrapText="1"/>
    </xf>
    <xf numFmtId="0" fontId="106" fillId="0" borderId="30" xfId="0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vertical="top" wrapText="1"/>
    </xf>
    <xf numFmtId="0" fontId="106" fillId="0" borderId="32" xfId="0" applyFont="1" applyFill="1" applyBorder="1" applyAlignment="1">
      <alignment horizontal="center" vertical="top" wrapText="1"/>
    </xf>
    <xf numFmtId="0" fontId="106" fillId="0" borderId="13" xfId="0" applyFont="1" applyFill="1" applyBorder="1" applyAlignment="1">
      <alignment vertical="top" wrapText="1"/>
    </xf>
    <xf numFmtId="0" fontId="106" fillId="0" borderId="34" xfId="0" applyFont="1" applyFill="1" applyBorder="1" applyAlignment="1">
      <alignment vertical="top" wrapText="1"/>
    </xf>
    <xf numFmtId="0" fontId="106" fillId="0" borderId="31" xfId="0" applyFont="1" applyFill="1" applyBorder="1" applyAlignment="1">
      <alignment vertical="top" wrapText="1"/>
    </xf>
    <xf numFmtId="0" fontId="106" fillId="0" borderId="38" xfId="0" applyFont="1" applyFill="1" applyBorder="1" applyAlignment="1">
      <alignment vertical="top" wrapText="1"/>
    </xf>
    <xf numFmtId="0" fontId="108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vertical="center" wrapText="1"/>
    </xf>
    <xf numFmtId="0" fontId="110" fillId="0" borderId="13" xfId="0" applyFont="1" applyFill="1" applyBorder="1" applyAlignment="1">
      <alignment horizontal="center" vertical="top" wrapText="1"/>
    </xf>
    <xf numFmtId="0" fontId="110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10" fillId="0" borderId="13" xfId="0" applyFont="1" applyFill="1" applyBorder="1" applyAlignment="1">
      <alignment vertical="center" wrapText="1"/>
    </xf>
    <xf numFmtId="0" fontId="110" fillId="105" borderId="13" xfId="0" applyFont="1" applyFill="1" applyBorder="1" applyAlignment="1">
      <alignment horizontal="center" vertical="top" wrapText="1"/>
    </xf>
    <xf numFmtId="0" fontId="110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10" fillId="0" borderId="36" xfId="0" applyFont="1" applyFill="1" applyBorder="1" applyAlignment="1">
      <alignment vertical="center" wrapText="1"/>
    </xf>
    <xf numFmtId="49" fontId="110" fillId="0" borderId="13" xfId="0" applyNumberFormat="1" applyFont="1" applyFill="1" applyBorder="1" applyAlignment="1">
      <alignment horizontal="center" vertical="top" wrapText="1"/>
    </xf>
    <xf numFmtId="49" fontId="110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10" fillId="0" borderId="13" xfId="0" applyFont="1" applyBorder="1" applyAlignment="1">
      <alignment horizontal="center" vertical="top" wrapText="1"/>
    </xf>
    <xf numFmtId="4" fontId="110" fillId="0" borderId="13" xfId="0" applyNumberFormat="1" applyFont="1" applyBorder="1" applyAlignment="1">
      <alignment horizontal="center" vertical="top" wrapText="1"/>
    </xf>
    <xf numFmtId="0" fontId="109" fillId="0" borderId="13" xfId="0" applyFont="1" applyBorder="1" applyAlignment="1">
      <alignment vertical="center" wrapText="1"/>
    </xf>
    <xf numFmtId="0" fontId="110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00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02" fillId="0" borderId="13" xfId="606" applyNumberFormat="1" applyFont="1" applyFill="1" applyBorder="1" applyAlignment="1">
      <alignment horizontal="center" wrapText="1"/>
      <protection/>
    </xf>
    <xf numFmtId="0" fontId="102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02" fillId="0" borderId="0" xfId="606" applyFont="1" applyFill="1" applyBorder="1" applyAlignment="1">
      <alignment horizontal="center" vertical="top" wrapText="1"/>
      <protection/>
    </xf>
    <xf numFmtId="0" fontId="102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0" fontId="67" fillId="0" borderId="13" xfId="0" applyNumberFormat="1" applyFont="1" applyBorder="1" applyAlignment="1">
      <alignment horizontal="center" wrapText="1"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00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0" fontId="100" fillId="0" borderId="0" xfId="580" applyFont="1" applyFill="1" applyBorder="1" applyAlignment="1">
      <alignment horizontal="center" vertical="center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00" fillId="0" borderId="0" xfId="580" applyFont="1" applyFill="1">
      <alignment/>
      <protection/>
    </xf>
    <xf numFmtId="0" fontId="100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02" fillId="0" borderId="13" xfId="606" applyNumberFormat="1" applyFont="1" applyFill="1" applyBorder="1" applyAlignment="1">
      <alignment horizontal="center" wrapText="1"/>
      <protection/>
    </xf>
    <xf numFmtId="171" fontId="102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4" fontId="74" fillId="0" borderId="13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2" fontId="69" fillId="0" borderId="13" xfId="580" applyNumberFormat="1" applyFont="1" applyFill="1" applyBorder="1">
      <alignment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00" fillId="0" borderId="0" xfId="0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1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2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106" borderId="30" xfId="0" applyNumberFormat="1" applyFont="1" applyFill="1" applyBorder="1" applyAlignment="1">
      <alignment horizontal="center" vertical="center" wrapText="1"/>
    </xf>
    <xf numFmtId="4" fontId="13" fillId="106" borderId="32" xfId="0" applyNumberFormat="1" applyFont="1" applyFill="1" applyBorder="1" applyAlignment="1">
      <alignment horizontal="center" vertical="center" wrapText="1"/>
    </xf>
    <xf numFmtId="4" fontId="13" fillId="106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00" fillId="0" borderId="13" xfId="0" applyFont="1" applyBorder="1" applyAlignment="1">
      <alignment horizontal="center" vertical="top" wrapText="1"/>
    </xf>
    <xf numFmtId="0" fontId="100" fillId="0" borderId="35" xfId="0" applyFont="1" applyBorder="1" applyAlignment="1">
      <alignment horizontal="center" vertical="top" wrapText="1"/>
    </xf>
    <xf numFmtId="0" fontId="100" fillId="0" borderId="41" xfId="0" applyFont="1" applyBorder="1" applyAlignment="1">
      <alignment horizontal="center" vertical="top" wrapText="1"/>
    </xf>
    <xf numFmtId="0" fontId="100" fillId="0" borderId="43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top" wrapText="1"/>
    </xf>
    <xf numFmtId="0" fontId="100" fillId="0" borderId="33" xfId="0" applyFont="1" applyBorder="1" applyAlignment="1">
      <alignment horizontal="center" vertical="top" wrapText="1"/>
    </xf>
    <xf numFmtId="0" fontId="100" fillId="0" borderId="38" xfId="0" applyFont="1" applyBorder="1" applyAlignment="1">
      <alignment horizontal="center" vertical="top" wrapText="1"/>
    </xf>
    <xf numFmtId="0" fontId="100" fillId="0" borderId="0" xfId="0" applyFont="1" applyAlignment="1">
      <alignment horizontal="left" wrapText="1"/>
    </xf>
    <xf numFmtId="2" fontId="100" fillId="0" borderId="13" xfId="0" applyNumberFormat="1" applyFont="1" applyBorder="1" applyAlignment="1">
      <alignment wrapText="1"/>
    </xf>
    <xf numFmtId="0" fontId="100" fillId="0" borderId="13" xfId="0" applyFont="1" applyBorder="1" applyAlignment="1">
      <alignment wrapText="1"/>
    </xf>
    <xf numFmtId="0" fontId="100" fillId="0" borderId="31" xfId="0" applyFont="1" applyBorder="1" applyAlignment="1">
      <alignment vertical="top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wrapText="1"/>
    </xf>
    <xf numFmtId="49" fontId="100" fillId="0" borderId="34" xfId="0" applyNumberFormat="1" applyFont="1" applyBorder="1" applyAlignment="1">
      <alignment horizontal="center" wrapText="1"/>
    </xf>
    <xf numFmtId="2" fontId="100" fillId="0" borderId="13" xfId="0" applyNumberFormat="1" applyFont="1" applyFill="1" applyBorder="1" applyAlignment="1">
      <alignment wrapText="1"/>
    </xf>
    <xf numFmtId="0" fontId="100" fillId="0" borderId="13" xfId="0" applyFont="1" applyFill="1" applyBorder="1" applyAlignment="1">
      <alignment wrapText="1"/>
    </xf>
    <xf numFmtId="2" fontId="100" fillId="0" borderId="13" xfId="0" applyNumberFormat="1" applyFont="1" applyBorder="1" applyAlignment="1">
      <alignment vertical="top" wrapText="1"/>
    </xf>
    <xf numFmtId="0" fontId="112" fillId="0" borderId="0" xfId="0" applyFont="1" applyAlignment="1">
      <alignment horizontal="left" wrapText="1"/>
    </xf>
    <xf numFmtId="49" fontId="100" fillId="0" borderId="13" xfId="0" applyNumberFormat="1" applyFont="1" applyBorder="1" applyAlignment="1">
      <alignment horizontal="center" vertical="top" wrapText="1"/>
    </xf>
    <xf numFmtId="0" fontId="71" fillId="0" borderId="36" xfId="580" applyFont="1" applyBorder="1" applyAlignment="1">
      <alignment horizontal="left" vertical="center"/>
      <protection/>
    </xf>
    <xf numFmtId="0" fontId="71" fillId="0" borderId="42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00" fillId="0" borderId="0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42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9" fillId="0" borderId="13" xfId="580" applyFont="1" applyBorder="1" applyAlignment="1">
      <alignment horizontal="center" vertical="top"/>
      <protection/>
    </xf>
    <xf numFmtId="0" fontId="71" fillId="0" borderId="13" xfId="580" applyFont="1" applyBorder="1" applyAlignment="1">
      <alignment horizontal="left" vertical="center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36" xfId="580" applyFont="1" applyFill="1" applyBorder="1" applyAlignment="1">
      <alignment horizontal="left"/>
      <protection/>
    </xf>
    <xf numFmtId="0" fontId="71" fillId="0" borderId="42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vertical="center" wrapText="1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/>
      <protection/>
    </xf>
    <xf numFmtId="0" fontId="69" fillId="0" borderId="0" xfId="580" applyFont="1" applyFill="1" applyBorder="1" applyAlignment="1">
      <alignment horizontal="justify" wrapText="1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0" fontId="71" fillId="0" borderId="0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49" fontId="69" fillId="0" borderId="42" xfId="580" applyNumberFormat="1" applyFont="1" applyFill="1" applyBorder="1" applyAlignment="1">
      <alignment horizontal="left"/>
      <protection/>
    </xf>
    <xf numFmtId="0" fontId="71" fillId="0" borderId="0" xfId="580" applyFont="1" applyFill="1" applyBorder="1" applyAlignment="1">
      <alignment horizontal="left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center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42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2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2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2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9" fillId="0" borderId="13" xfId="580" applyFont="1" applyFill="1" applyBorder="1" applyAlignment="1">
      <alignment horizontal="center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71" fillId="0" borderId="0" xfId="580" applyFont="1" applyFill="1" applyAlignment="1">
      <alignment horizontal="left"/>
      <protection/>
    </xf>
    <xf numFmtId="0" fontId="71" fillId="0" borderId="0" xfId="580" applyFont="1" applyFill="1" applyAlignment="1">
      <alignment horizontal="left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2" xfId="580" applyNumberFormat="1" applyFont="1" applyFill="1" applyBorder="1" applyAlignment="1">
      <alignment horizontal="center" vertical="center" wrapText="1"/>
      <protection/>
    </xf>
    <xf numFmtId="0" fontId="102" fillId="0" borderId="36" xfId="606" applyFont="1" applyFill="1" applyBorder="1" applyAlignment="1">
      <alignment horizontal="left" vertical="top" wrapText="1"/>
      <protection/>
    </xf>
    <xf numFmtId="0" fontId="102" fillId="0" borderId="34" xfId="606" applyFont="1" applyFill="1" applyBorder="1" applyAlignment="1">
      <alignment horizontal="left" vertical="top" wrapText="1"/>
      <protection/>
    </xf>
    <xf numFmtId="0" fontId="100" fillId="0" borderId="0" xfId="606" applyFont="1" applyFill="1" applyBorder="1" applyAlignment="1">
      <alignment horizontal="justify" vertical="top" wrapText="1"/>
      <protection/>
    </xf>
    <xf numFmtId="0" fontId="100" fillId="0" borderId="0" xfId="606" applyFont="1" applyFill="1" applyBorder="1" applyAlignment="1">
      <alignment horizontal="left" vertical="top" wrapText="1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00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2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2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1">
      <selection activeCell="D18" sqref="D18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405" t="s">
        <v>31</v>
      </c>
      <c r="G1" s="405"/>
      <c r="H1" s="405"/>
    </row>
    <row r="2" spans="1:8" ht="11.25" customHeight="1">
      <c r="A2" s="11"/>
      <c r="F2" s="405" t="s">
        <v>29</v>
      </c>
      <c r="G2" s="405"/>
      <c r="H2" s="405"/>
    </row>
    <row r="3" spans="1:8" ht="11.25" customHeight="1">
      <c r="A3" s="12"/>
      <c r="F3" s="405" t="s">
        <v>27</v>
      </c>
      <c r="G3" s="405"/>
      <c r="H3" s="405"/>
    </row>
    <row r="4" spans="1:8" ht="11.25" customHeight="1">
      <c r="A4" s="12"/>
      <c r="F4" s="405" t="s">
        <v>14</v>
      </c>
      <c r="G4" s="405"/>
      <c r="H4" s="405"/>
    </row>
    <row r="5" spans="1:8" ht="30" customHeight="1">
      <c r="A5" s="13"/>
      <c r="F5" s="408"/>
      <c r="G5" s="408"/>
      <c r="H5" s="408"/>
    </row>
    <row r="6" spans="1:9" ht="27.75" customHeight="1">
      <c r="A6" s="90"/>
      <c r="B6" s="90"/>
      <c r="C6" s="90"/>
      <c r="D6" s="409"/>
      <c r="E6" s="409"/>
      <c r="F6" s="409"/>
      <c r="G6" s="409"/>
      <c r="H6" s="1"/>
      <c r="I6" s="7"/>
    </row>
    <row r="7" spans="1:9" ht="15" customHeight="1">
      <c r="A7" s="90"/>
      <c r="B7" s="90"/>
      <c r="C7" s="90"/>
      <c r="D7" s="91"/>
      <c r="E7" s="407" t="s">
        <v>15</v>
      </c>
      <c r="F7" s="407"/>
      <c r="G7" s="407"/>
      <c r="H7" s="407"/>
      <c r="I7" s="7"/>
    </row>
    <row r="8" spans="1:9" ht="15.75">
      <c r="A8" s="90"/>
      <c r="B8" s="90"/>
      <c r="C8" s="90"/>
      <c r="D8" s="91"/>
      <c r="E8" s="406" t="s">
        <v>486</v>
      </c>
      <c r="F8" s="406"/>
      <c r="G8" s="406"/>
      <c r="H8" s="406"/>
      <c r="I8" s="7"/>
    </row>
    <row r="9" spans="1:9" ht="15" customHeight="1">
      <c r="A9" s="91"/>
      <c r="B9" s="91"/>
      <c r="C9" s="91"/>
      <c r="D9" s="91"/>
      <c r="E9" s="399" t="s">
        <v>16</v>
      </c>
      <c r="F9" s="399"/>
      <c r="G9" s="399"/>
      <c r="H9" s="399"/>
      <c r="I9" s="395"/>
    </row>
    <row r="10" spans="1:9" ht="15" customHeight="1">
      <c r="A10" s="91"/>
      <c r="B10" s="91"/>
      <c r="C10" s="91"/>
      <c r="D10" s="91"/>
      <c r="E10" s="93"/>
      <c r="F10" s="93"/>
      <c r="G10" s="406" t="s">
        <v>487</v>
      </c>
      <c r="H10" s="406"/>
      <c r="I10" s="395"/>
    </row>
    <row r="11" spans="1:9" ht="16.5" customHeight="1">
      <c r="A11" s="90"/>
      <c r="B11" s="90"/>
      <c r="C11" s="90"/>
      <c r="D11" s="91"/>
      <c r="E11" s="399" t="s">
        <v>11</v>
      </c>
      <c r="F11" s="399"/>
      <c r="G11" s="412" t="s">
        <v>12</v>
      </c>
      <c r="H11" s="412"/>
      <c r="I11" s="7"/>
    </row>
    <row r="12" spans="1:9" ht="22.5" customHeight="1">
      <c r="A12" s="90"/>
      <c r="B12" s="90"/>
      <c r="C12" s="90"/>
      <c r="D12" s="91"/>
      <c r="E12" s="407" t="s">
        <v>542</v>
      </c>
      <c r="F12" s="407"/>
      <c r="G12" s="407"/>
      <c r="H12" s="407"/>
      <c r="I12" s="4"/>
    </row>
    <row r="13" spans="1:9" ht="17.25" customHeight="1">
      <c r="A13" s="389" t="s">
        <v>17</v>
      </c>
      <c r="B13" s="389"/>
      <c r="C13" s="389"/>
      <c r="D13" s="389"/>
      <c r="E13" s="389"/>
      <c r="F13" s="389"/>
      <c r="G13" s="389"/>
      <c r="H13" s="389"/>
      <c r="I13" s="396"/>
    </row>
    <row r="14" spans="1:9" ht="15" customHeight="1">
      <c r="A14" s="389" t="s">
        <v>394</v>
      </c>
      <c r="B14" s="389"/>
      <c r="C14" s="389"/>
      <c r="D14" s="389"/>
      <c r="E14" s="389"/>
      <c r="F14" s="389"/>
      <c r="G14" s="389"/>
      <c r="H14" s="389"/>
      <c r="I14" s="396"/>
    </row>
    <row r="15" spans="1:9" ht="15" customHeight="1">
      <c r="A15" s="389" t="s">
        <v>433</v>
      </c>
      <c r="B15" s="389"/>
      <c r="C15" s="389"/>
      <c r="D15" s="389"/>
      <c r="E15" s="389"/>
      <c r="F15" s="389"/>
      <c r="G15" s="389"/>
      <c r="H15" s="389"/>
      <c r="I15" s="396"/>
    </row>
    <row r="16" spans="1:9" ht="12" customHeight="1">
      <c r="A16" s="389"/>
      <c r="B16" s="389"/>
      <c r="C16" s="389"/>
      <c r="D16" s="389"/>
      <c r="E16" s="389"/>
      <c r="F16" s="389"/>
      <c r="G16" s="389"/>
      <c r="H16" s="389"/>
      <c r="I16" s="396"/>
    </row>
    <row r="17" spans="1:9" ht="18.75" customHeight="1">
      <c r="A17" s="2"/>
      <c r="B17" s="2"/>
      <c r="C17" s="2"/>
      <c r="D17" s="183">
        <v>43517</v>
      </c>
      <c r="E17" s="389"/>
      <c r="F17" s="400"/>
      <c r="G17" s="401" t="s">
        <v>18</v>
      </c>
      <c r="H17" s="401"/>
      <c r="I17" s="3"/>
    </row>
    <row r="18" spans="1:9" ht="27.75" customHeight="1">
      <c r="A18" s="2"/>
      <c r="B18" s="2"/>
      <c r="C18" s="2"/>
      <c r="D18" s="2"/>
      <c r="E18" s="390" t="s">
        <v>28</v>
      </c>
      <c r="F18" s="391"/>
      <c r="G18" s="403">
        <f>D17</f>
        <v>43517</v>
      </c>
      <c r="H18" s="404"/>
      <c r="I18" s="15"/>
    </row>
    <row r="19" spans="1:9" ht="17.25" customHeight="1">
      <c r="A19" s="94"/>
      <c r="B19" s="2"/>
      <c r="C19" s="2"/>
      <c r="D19" s="2"/>
      <c r="E19" s="390" t="s">
        <v>431</v>
      </c>
      <c r="F19" s="391"/>
      <c r="G19" s="402">
        <f>A17</f>
        <v>0</v>
      </c>
      <c r="H19" s="402"/>
      <c r="I19" s="4"/>
    </row>
    <row r="20" spans="1:9" ht="17.25" customHeight="1">
      <c r="A20" s="91"/>
      <c r="B20" s="90"/>
      <c r="C20" s="91"/>
      <c r="D20" s="1"/>
      <c r="E20" s="390" t="s">
        <v>19</v>
      </c>
      <c r="F20" s="391"/>
      <c r="G20" s="392" t="s">
        <v>490</v>
      </c>
      <c r="H20" s="393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397"/>
      <c r="H21" s="398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397"/>
      <c r="H22" s="398"/>
      <c r="I22" s="14"/>
    </row>
    <row r="23" spans="1:9" ht="17.25" customHeight="1">
      <c r="A23" s="91"/>
      <c r="B23" s="90"/>
      <c r="C23" s="91"/>
      <c r="D23" s="1"/>
      <c r="E23" s="390" t="s">
        <v>20</v>
      </c>
      <c r="F23" s="391"/>
      <c r="G23" s="414">
        <v>383</v>
      </c>
      <c r="H23" s="414"/>
      <c r="I23" s="14"/>
    </row>
    <row r="24" spans="1:9" ht="30.75" customHeight="1">
      <c r="A24" s="411" t="s">
        <v>488</v>
      </c>
      <c r="B24" s="411"/>
      <c r="C24" s="411"/>
      <c r="D24" s="411"/>
      <c r="E24" s="411"/>
      <c r="F24" s="411"/>
      <c r="G24" s="411"/>
      <c r="H24" s="411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415" t="s">
        <v>489</v>
      </c>
      <c r="C26" s="415"/>
      <c r="D26" s="415"/>
      <c r="E26" s="91"/>
      <c r="F26" s="91"/>
      <c r="G26" s="91"/>
      <c r="H26" s="91"/>
      <c r="I26" s="7"/>
    </row>
    <row r="27" spans="1:9" s="84" customFormat="1" ht="17.25" customHeight="1">
      <c r="A27" s="394" t="s">
        <v>430</v>
      </c>
      <c r="B27" s="394"/>
      <c r="C27" s="394"/>
      <c r="D27" s="394"/>
      <c r="E27" s="394"/>
      <c r="F27" s="394"/>
      <c r="G27" s="394"/>
      <c r="H27" s="394"/>
      <c r="I27" s="83"/>
    </row>
    <row r="28" spans="1:9" s="84" customFormat="1" ht="17.25" customHeight="1">
      <c r="A28" s="394" t="s">
        <v>515</v>
      </c>
      <c r="B28" s="394"/>
      <c r="C28" s="394"/>
      <c r="D28" s="394"/>
      <c r="E28" s="394"/>
      <c r="F28" s="394"/>
      <c r="G28" s="394"/>
      <c r="H28" s="394"/>
      <c r="I28" s="83"/>
    </row>
    <row r="29" spans="1:9" ht="15.75" customHeight="1">
      <c r="A29" s="407" t="s">
        <v>21</v>
      </c>
      <c r="B29" s="407"/>
      <c r="C29" s="91"/>
      <c r="D29" s="1"/>
      <c r="E29" s="409"/>
      <c r="F29" s="409"/>
      <c r="G29" s="411"/>
      <c r="H29" s="411"/>
      <c r="I29" s="14"/>
    </row>
    <row r="30" spans="1:9" ht="21" customHeight="1">
      <c r="A30" s="407" t="s">
        <v>22</v>
      </c>
      <c r="B30" s="407"/>
      <c r="C30" s="407"/>
      <c r="D30" s="407"/>
      <c r="E30" s="407"/>
      <c r="F30" s="407"/>
      <c r="G30" s="95"/>
      <c r="H30" s="95"/>
      <c r="I30" s="4"/>
    </row>
    <row r="31" spans="1:9" ht="15" customHeight="1">
      <c r="A31" s="413" t="s">
        <v>23</v>
      </c>
      <c r="B31" s="413"/>
      <c r="C31" s="413"/>
      <c r="D31" s="413"/>
      <c r="E31" s="413"/>
      <c r="F31" s="413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407" t="s">
        <v>132</v>
      </c>
      <c r="B33" s="407"/>
      <c r="C33" s="407"/>
      <c r="D33" s="418" t="s">
        <v>491</v>
      </c>
      <c r="E33" s="418"/>
      <c r="F33" s="418"/>
      <c r="G33" s="418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417" t="s">
        <v>24</v>
      </c>
      <c r="B35" s="417"/>
      <c r="C35" s="417"/>
      <c r="D35" s="417"/>
      <c r="E35" s="417"/>
      <c r="F35" s="417"/>
      <c r="G35" s="417"/>
      <c r="H35" s="417"/>
    </row>
    <row r="36" spans="1:8" ht="16.5" customHeight="1">
      <c r="A36" s="410" t="s">
        <v>25</v>
      </c>
      <c r="B36" s="410"/>
      <c r="C36" s="410"/>
      <c r="D36" s="410"/>
      <c r="E36" s="100"/>
      <c r="F36" s="100"/>
      <c r="G36" s="100"/>
      <c r="H36" s="100"/>
    </row>
    <row r="37" spans="1:8" ht="28.5" customHeight="1">
      <c r="A37" s="416" t="s">
        <v>492</v>
      </c>
      <c r="B37" s="416"/>
      <c r="C37" s="416"/>
      <c r="D37" s="416"/>
      <c r="E37" s="416"/>
      <c r="F37" s="416"/>
      <c r="G37" s="416"/>
      <c r="H37" s="416"/>
    </row>
    <row r="38" spans="1:8" ht="19.5" customHeight="1">
      <c r="A38" s="410" t="s">
        <v>26</v>
      </c>
      <c r="B38" s="410"/>
      <c r="C38" s="410"/>
      <c r="D38" s="410"/>
      <c r="E38" s="100"/>
      <c r="F38" s="100"/>
      <c r="G38" s="100"/>
      <c r="H38" s="100"/>
    </row>
    <row r="39" spans="1:7" s="101" customFormat="1" ht="18" customHeight="1">
      <c r="A39" s="421" t="s">
        <v>493</v>
      </c>
      <c r="B39" s="421"/>
      <c r="C39" s="421"/>
      <c r="D39" s="421"/>
      <c r="E39" s="421" t="s">
        <v>494</v>
      </c>
      <c r="F39" s="421"/>
      <c r="G39" s="421"/>
    </row>
    <row r="40" spans="1:7" s="101" customFormat="1" ht="18" customHeight="1">
      <c r="A40" s="421" t="s">
        <v>495</v>
      </c>
      <c r="B40" s="421"/>
      <c r="C40" s="421"/>
      <c r="D40" s="421"/>
      <c r="E40" s="421" t="s">
        <v>496</v>
      </c>
      <c r="F40" s="421"/>
      <c r="G40" s="421"/>
    </row>
    <row r="41" spans="1:7" s="101" customFormat="1" ht="18" customHeight="1">
      <c r="A41" s="421" t="s">
        <v>497</v>
      </c>
      <c r="B41" s="421"/>
      <c r="C41" s="421"/>
      <c r="D41" s="421"/>
      <c r="E41" s="421" t="s">
        <v>498</v>
      </c>
      <c r="F41" s="421"/>
      <c r="G41" s="421"/>
    </row>
    <row r="42" spans="1:7" s="101" customFormat="1" ht="18" customHeight="1">
      <c r="A42" s="421" t="s">
        <v>499</v>
      </c>
      <c r="B42" s="421"/>
      <c r="C42" s="421"/>
      <c r="D42" s="421"/>
      <c r="E42" s="421" t="s">
        <v>500</v>
      </c>
      <c r="F42" s="421"/>
      <c r="G42" s="421"/>
    </row>
    <row r="43" spans="1:7" s="101" customFormat="1" ht="18" customHeight="1">
      <c r="A43" s="421" t="s">
        <v>510</v>
      </c>
      <c r="B43" s="421"/>
      <c r="C43" s="421"/>
      <c r="D43" s="421"/>
      <c r="E43" s="421" t="s">
        <v>501</v>
      </c>
      <c r="F43" s="421"/>
      <c r="G43" s="421"/>
    </row>
    <row r="44" spans="1:7" s="101" customFormat="1" ht="18" customHeight="1">
      <c r="A44" s="421" t="s">
        <v>502</v>
      </c>
      <c r="B44" s="421"/>
      <c r="C44" s="421"/>
      <c r="D44" s="421"/>
      <c r="E44" s="421" t="s">
        <v>503</v>
      </c>
      <c r="F44" s="421"/>
      <c r="G44" s="421"/>
    </row>
    <row r="45" spans="1:7" s="101" customFormat="1" ht="32.25" customHeight="1">
      <c r="A45" s="421" t="s">
        <v>504</v>
      </c>
      <c r="B45" s="421"/>
      <c r="C45" s="421"/>
      <c r="D45" s="421"/>
      <c r="E45" s="421" t="s">
        <v>505</v>
      </c>
      <c r="F45" s="421"/>
      <c r="G45" s="421"/>
    </row>
    <row r="46" spans="1:7" s="101" customFormat="1" ht="18" customHeight="1">
      <c r="A46" s="421" t="s">
        <v>506</v>
      </c>
      <c r="B46" s="421"/>
      <c r="C46" s="421"/>
      <c r="D46" s="421"/>
      <c r="E46" s="421" t="s">
        <v>507</v>
      </c>
      <c r="F46" s="421"/>
      <c r="G46" s="421"/>
    </row>
    <row r="47" spans="1:7" s="101" customFormat="1" ht="18" customHeight="1">
      <c r="A47" s="421" t="s">
        <v>508</v>
      </c>
      <c r="B47" s="421"/>
      <c r="C47" s="421"/>
      <c r="D47" s="421"/>
      <c r="E47" s="421" t="s">
        <v>509</v>
      </c>
      <c r="F47" s="421"/>
      <c r="G47" s="421"/>
    </row>
    <row r="48" spans="1:8" s="18" customFormat="1" ht="30.75" customHeight="1">
      <c r="A48" s="388" t="s">
        <v>135</v>
      </c>
      <c r="B48" s="388"/>
      <c r="C48" s="388"/>
      <c r="D48" s="388"/>
      <c r="E48" s="388"/>
      <c r="F48" s="388"/>
      <c r="G48" s="388"/>
      <c r="H48" s="388"/>
    </row>
    <row r="49" spans="1:7" s="101" customFormat="1" ht="18" customHeight="1">
      <c r="A49" s="422" t="s">
        <v>511</v>
      </c>
      <c r="B49" s="422"/>
      <c r="C49" s="422"/>
      <c r="D49" s="422"/>
      <c r="E49" s="422"/>
      <c r="F49" s="422"/>
      <c r="G49" s="422"/>
    </row>
    <row r="50" spans="1:7" s="101" customFormat="1" ht="18" customHeight="1">
      <c r="A50" s="422" t="s">
        <v>512</v>
      </c>
      <c r="B50" s="422"/>
      <c r="C50" s="422"/>
      <c r="D50" s="422"/>
      <c r="E50" s="422"/>
      <c r="F50" s="422"/>
      <c r="G50" s="422"/>
    </row>
    <row r="51" spans="1:7" s="101" customFormat="1" ht="18" customHeight="1">
      <c r="A51" s="422" t="s">
        <v>513</v>
      </c>
      <c r="B51" s="422"/>
      <c r="C51" s="422"/>
      <c r="D51" s="422"/>
      <c r="E51" s="422"/>
      <c r="F51" s="422"/>
      <c r="G51" s="422"/>
    </row>
    <row r="52" spans="1:7" s="101" customFormat="1" ht="18" customHeight="1">
      <c r="A52" s="422" t="s">
        <v>514</v>
      </c>
      <c r="B52" s="422"/>
      <c r="C52" s="422"/>
      <c r="D52" s="422"/>
      <c r="E52" s="422"/>
      <c r="F52" s="422"/>
      <c r="G52" s="422"/>
    </row>
    <row r="53" spans="1:256" s="18" customFormat="1" ht="19.5" customHeight="1">
      <c r="A53" s="420" t="s">
        <v>539</v>
      </c>
      <c r="B53" s="420"/>
      <c r="C53" s="420"/>
      <c r="D53" s="420"/>
      <c r="E53" s="420"/>
      <c r="F53" s="420"/>
      <c r="G53" s="420"/>
      <c r="H53" s="420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  <c r="CF53" s="387"/>
      <c r="CG53" s="387"/>
      <c r="CH53" s="387"/>
      <c r="CI53" s="387"/>
      <c r="CJ53" s="387"/>
      <c r="CK53" s="387"/>
      <c r="CL53" s="387"/>
      <c r="CM53" s="387"/>
      <c r="CN53" s="387"/>
      <c r="CO53" s="387"/>
      <c r="CP53" s="387"/>
      <c r="CQ53" s="387"/>
      <c r="CR53" s="387"/>
      <c r="CS53" s="387"/>
      <c r="CT53" s="387"/>
      <c r="CU53" s="387"/>
      <c r="CV53" s="387"/>
      <c r="CW53" s="387"/>
      <c r="CX53" s="387"/>
      <c r="CY53" s="387"/>
      <c r="CZ53" s="387"/>
      <c r="DA53" s="387"/>
      <c r="DB53" s="387"/>
      <c r="DC53" s="387"/>
      <c r="DD53" s="387"/>
      <c r="DE53" s="387"/>
      <c r="DF53" s="387"/>
      <c r="DG53" s="387"/>
      <c r="DH53" s="387"/>
      <c r="DI53" s="387"/>
      <c r="DJ53" s="387"/>
      <c r="DK53" s="387"/>
      <c r="DL53" s="387"/>
      <c r="DM53" s="387"/>
      <c r="DN53" s="387"/>
      <c r="DO53" s="387"/>
      <c r="DP53" s="387"/>
      <c r="DQ53" s="387"/>
      <c r="DR53" s="387"/>
      <c r="DS53" s="387"/>
      <c r="DT53" s="387"/>
      <c r="DU53" s="387"/>
      <c r="DV53" s="387"/>
      <c r="DW53" s="387"/>
      <c r="DX53" s="387"/>
      <c r="DY53" s="387"/>
      <c r="DZ53" s="387"/>
      <c r="EA53" s="387"/>
      <c r="EB53" s="387"/>
      <c r="EC53" s="387"/>
      <c r="ED53" s="387"/>
      <c r="EE53" s="387"/>
      <c r="EF53" s="387"/>
      <c r="EG53" s="387"/>
      <c r="EH53" s="387"/>
      <c r="EI53" s="387"/>
      <c r="EJ53" s="387"/>
      <c r="EK53" s="387"/>
      <c r="EL53" s="387"/>
      <c r="EM53" s="387"/>
      <c r="EN53" s="387"/>
      <c r="EO53" s="387"/>
      <c r="EP53" s="387"/>
      <c r="EQ53" s="387"/>
      <c r="ER53" s="387"/>
      <c r="ES53" s="387"/>
      <c r="ET53" s="387"/>
      <c r="EU53" s="387"/>
      <c r="EV53" s="387"/>
      <c r="EW53" s="387"/>
      <c r="EX53" s="387"/>
      <c r="EY53" s="387"/>
      <c r="EZ53" s="387"/>
      <c r="FA53" s="387"/>
      <c r="FB53" s="387"/>
      <c r="FC53" s="387"/>
      <c r="FD53" s="387"/>
      <c r="FE53" s="387"/>
      <c r="FF53" s="387"/>
      <c r="FG53" s="387"/>
      <c r="FH53" s="387"/>
      <c r="FI53" s="387"/>
      <c r="FJ53" s="387"/>
      <c r="FK53" s="387"/>
      <c r="FL53" s="387"/>
      <c r="FM53" s="387"/>
      <c r="FN53" s="387"/>
      <c r="FO53" s="387"/>
      <c r="FP53" s="387"/>
      <c r="FQ53" s="387"/>
      <c r="FR53" s="387"/>
      <c r="FS53" s="387"/>
      <c r="FT53" s="387"/>
      <c r="FU53" s="387"/>
      <c r="FV53" s="387"/>
      <c r="FW53" s="387"/>
      <c r="FX53" s="387"/>
      <c r="FY53" s="387"/>
      <c r="FZ53" s="387"/>
      <c r="GA53" s="387"/>
      <c r="GB53" s="387"/>
      <c r="GC53" s="387"/>
      <c r="GD53" s="387"/>
      <c r="GE53" s="387"/>
      <c r="GF53" s="387"/>
      <c r="GG53" s="387"/>
      <c r="GH53" s="387"/>
      <c r="GI53" s="387"/>
      <c r="GJ53" s="387"/>
      <c r="GK53" s="387"/>
      <c r="GL53" s="387"/>
      <c r="GM53" s="387"/>
      <c r="GN53" s="387"/>
      <c r="GO53" s="387"/>
      <c r="GP53" s="387"/>
      <c r="GQ53" s="387"/>
      <c r="GR53" s="387"/>
      <c r="GS53" s="387"/>
      <c r="GT53" s="387"/>
      <c r="GU53" s="387"/>
      <c r="GV53" s="387"/>
      <c r="GW53" s="387"/>
      <c r="GX53" s="387"/>
      <c r="GY53" s="387"/>
      <c r="GZ53" s="387"/>
      <c r="HA53" s="387"/>
      <c r="HB53" s="387"/>
      <c r="HC53" s="387"/>
      <c r="HD53" s="387"/>
      <c r="HE53" s="387"/>
      <c r="HF53" s="387"/>
      <c r="HG53" s="387"/>
      <c r="HH53" s="387"/>
      <c r="HI53" s="387"/>
      <c r="HJ53" s="387"/>
      <c r="HK53" s="387"/>
      <c r="HL53" s="387"/>
      <c r="HM53" s="387"/>
      <c r="HN53" s="387"/>
      <c r="HO53" s="387"/>
      <c r="HP53" s="387"/>
      <c r="HQ53" s="387"/>
      <c r="HR53" s="387"/>
      <c r="HS53" s="387"/>
      <c r="HT53" s="387"/>
      <c r="HU53" s="387"/>
      <c r="HV53" s="387"/>
      <c r="HW53" s="387"/>
      <c r="HX53" s="387"/>
      <c r="HY53" s="387"/>
      <c r="HZ53" s="387"/>
      <c r="IA53" s="387"/>
      <c r="IB53" s="387"/>
      <c r="IC53" s="387"/>
      <c r="ID53" s="387"/>
      <c r="IE53" s="387"/>
      <c r="IF53" s="387"/>
      <c r="IG53" s="387"/>
      <c r="IH53" s="387"/>
      <c r="II53" s="387"/>
      <c r="IJ53" s="387"/>
      <c r="IK53" s="387"/>
      <c r="IL53" s="387"/>
      <c r="IM53" s="387"/>
      <c r="IN53" s="387"/>
      <c r="IO53" s="387"/>
      <c r="IP53" s="387"/>
      <c r="IQ53" s="387"/>
      <c r="IR53" s="387"/>
      <c r="IS53" s="387"/>
      <c r="IT53" s="387"/>
      <c r="IU53" s="387"/>
      <c r="IV53" s="387"/>
    </row>
    <row r="54" spans="1:256" s="18" customFormat="1" ht="15.75" customHeight="1">
      <c r="A54" s="420" t="s">
        <v>538</v>
      </c>
      <c r="B54" s="420"/>
      <c r="C54" s="420"/>
      <c r="D54" s="420"/>
      <c r="E54" s="420"/>
      <c r="F54" s="420"/>
      <c r="G54" s="420"/>
      <c r="H54" s="420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  <c r="DE54" s="387"/>
      <c r="DF54" s="387"/>
      <c r="DG54" s="387"/>
      <c r="DH54" s="387"/>
      <c r="DI54" s="387"/>
      <c r="DJ54" s="387"/>
      <c r="DK54" s="387"/>
      <c r="DL54" s="387"/>
      <c r="DM54" s="387"/>
      <c r="DN54" s="387"/>
      <c r="DO54" s="387"/>
      <c r="DP54" s="387"/>
      <c r="DQ54" s="387"/>
      <c r="DR54" s="387"/>
      <c r="DS54" s="387"/>
      <c r="DT54" s="387"/>
      <c r="DU54" s="387"/>
      <c r="DV54" s="387"/>
      <c r="DW54" s="387"/>
      <c r="DX54" s="387"/>
      <c r="DY54" s="387"/>
      <c r="DZ54" s="387"/>
      <c r="EA54" s="387"/>
      <c r="EB54" s="387"/>
      <c r="EC54" s="387"/>
      <c r="ED54" s="387"/>
      <c r="EE54" s="387"/>
      <c r="EF54" s="387"/>
      <c r="EG54" s="387"/>
      <c r="EH54" s="387"/>
      <c r="EI54" s="387"/>
      <c r="EJ54" s="387"/>
      <c r="EK54" s="387"/>
      <c r="EL54" s="387"/>
      <c r="EM54" s="387"/>
      <c r="EN54" s="387"/>
      <c r="EO54" s="387"/>
      <c r="EP54" s="387"/>
      <c r="EQ54" s="387"/>
      <c r="ER54" s="387"/>
      <c r="ES54" s="387"/>
      <c r="ET54" s="387"/>
      <c r="EU54" s="387"/>
      <c r="EV54" s="387"/>
      <c r="EW54" s="387"/>
      <c r="EX54" s="387"/>
      <c r="EY54" s="387"/>
      <c r="EZ54" s="387"/>
      <c r="FA54" s="387"/>
      <c r="FB54" s="387"/>
      <c r="FC54" s="387"/>
      <c r="FD54" s="387"/>
      <c r="FE54" s="387"/>
      <c r="FF54" s="387"/>
      <c r="FG54" s="387"/>
      <c r="FH54" s="387"/>
      <c r="FI54" s="387"/>
      <c r="FJ54" s="387"/>
      <c r="FK54" s="387"/>
      <c r="FL54" s="387"/>
      <c r="FM54" s="387"/>
      <c r="FN54" s="387"/>
      <c r="FO54" s="387"/>
      <c r="FP54" s="387"/>
      <c r="FQ54" s="387"/>
      <c r="FR54" s="387"/>
      <c r="FS54" s="387"/>
      <c r="FT54" s="387"/>
      <c r="FU54" s="387"/>
      <c r="FV54" s="387"/>
      <c r="FW54" s="387"/>
      <c r="FX54" s="387"/>
      <c r="FY54" s="387"/>
      <c r="FZ54" s="387"/>
      <c r="GA54" s="387"/>
      <c r="GB54" s="387"/>
      <c r="GC54" s="387"/>
      <c r="GD54" s="387"/>
      <c r="GE54" s="387"/>
      <c r="GF54" s="387"/>
      <c r="GG54" s="387"/>
      <c r="GH54" s="387"/>
      <c r="GI54" s="387"/>
      <c r="GJ54" s="387"/>
      <c r="GK54" s="387"/>
      <c r="GL54" s="387"/>
      <c r="GM54" s="387"/>
      <c r="GN54" s="387"/>
      <c r="GO54" s="387"/>
      <c r="GP54" s="387"/>
      <c r="GQ54" s="387"/>
      <c r="GR54" s="387"/>
      <c r="GS54" s="387"/>
      <c r="GT54" s="387"/>
      <c r="GU54" s="387"/>
      <c r="GV54" s="387"/>
      <c r="GW54" s="387"/>
      <c r="GX54" s="387"/>
      <c r="GY54" s="387"/>
      <c r="GZ54" s="387"/>
      <c r="HA54" s="387"/>
      <c r="HB54" s="387"/>
      <c r="HC54" s="387"/>
      <c r="HD54" s="387"/>
      <c r="HE54" s="387"/>
      <c r="HF54" s="387"/>
      <c r="HG54" s="387"/>
      <c r="HH54" s="387"/>
      <c r="HI54" s="387"/>
      <c r="HJ54" s="387"/>
      <c r="HK54" s="387"/>
      <c r="HL54" s="387"/>
      <c r="HM54" s="387"/>
      <c r="HN54" s="387"/>
      <c r="HO54" s="387"/>
      <c r="HP54" s="387"/>
      <c r="HQ54" s="387"/>
      <c r="HR54" s="387"/>
      <c r="HS54" s="387"/>
      <c r="HT54" s="387"/>
      <c r="HU54" s="387"/>
      <c r="HV54" s="387"/>
      <c r="HW54" s="387"/>
      <c r="HX54" s="387"/>
      <c r="HY54" s="387"/>
      <c r="HZ54" s="387"/>
      <c r="IA54" s="387"/>
      <c r="IB54" s="387"/>
      <c r="IC54" s="387"/>
      <c r="ID54" s="387"/>
      <c r="IE54" s="387"/>
      <c r="IF54" s="387"/>
      <c r="IG54" s="387"/>
      <c r="IH54" s="387"/>
      <c r="II54" s="387"/>
      <c r="IJ54" s="387"/>
      <c r="IK54" s="387"/>
      <c r="IL54" s="387"/>
      <c r="IM54" s="387"/>
      <c r="IN54" s="387"/>
      <c r="IO54" s="387"/>
      <c r="IP54" s="387"/>
      <c r="IQ54" s="387"/>
      <c r="IR54" s="387"/>
      <c r="IS54" s="387"/>
      <c r="IT54" s="387"/>
      <c r="IU54" s="387"/>
      <c r="IV54" s="387"/>
    </row>
    <row r="55" spans="1:8" ht="11.25" customHeight="1">
      <c r="A55" s="387"/>
      <c r="B55" s="387"/>
      <c r="C55" s="387"/>
      <c r="D55" s="387"/>
      <c r="E55" s="387"/>
      <c r="F55" s="387"/>
      <c r="G55" s="387"/>
      <c r="H55" s="387"/>
    </row>
    <row r="56" spans="1:8" ht="11.25" customHeight="1">
      <c r="A56" s="387"/>
      <c r="B56" s="387"/>
      <c r="C56" s="387"/>
      <c r="D56" s="387"/>
      <c r="E56" s="387"/>
      <c r="F56" s="387"/>
      <c r="G56" s="387"/>
      <c r="H56" s="387"/>
    </row>
    <row r="57" spans="1:8" ht="11.25" customHeight="1">
      <c r="A57" s="387"/>
      <c r="B57" s="387"/>
      <c r="C57" s="387"/>
      <c r="D57" s="387"/>
      <c r="E57" s="387"/>
      <c r="F57" s="387"/>
      <c r="G57" s="387"/>
      <c r="H57" s="387"/>
    </row>
    <row r="58" spans="1:8" ht="11.25" customHeight="1">
      <c r="A58" s="419"/>
      <c r="B58" s="419"/>
      <c r="C58" s="419"/>
      <c r="D58" s="419"/>
      <c r="E58" s="419"/>
      <c r="F58" s="419"/>
      <c r="G58" s="419"/>
      <c r="H58" s="419"/>
    </row>
  </sheetData>
  <sheetProtection/>
  <mergeCells count="139">
    <mergeCell ref="A51:G51"/>
    <mergeCell ref="A52:G52"/>
    <mergeCell ref="A45:D45"/>
    <mergeCell ref="E45:G45"/>
    <mergeCell ref="A46:D46"/>
    <mergeCell ref="E46:G46"/>
    <mergeCell ref="A47:D47"/>
    <mergeCell ref="E47:G47"/>
    <mergeCell ref="A43:D43"/>
    <mergeCell ref="E43:G43"/>
    <mergeCell ref="A44:D44"/>
    <mergeCell ref="E44:G44"/>
    <mergeCell ref="A49:G49"/>
    <mergeCell ref="A50:G50"/>
    <mergeCell ref="E39:G39"/>
    <mergeCell ref="A40:D40"/>
    <mergeCell ref="E40:G40"/>
    <mergeCell ref="A41:D41"/>
    <mergeCell ref="E41:G41"/>
    <mergeCell ref="A42:D42"/>
    <mergeCell ref="E42:G42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248"/>
  <sheetViews>
    <sheetView view="pageBreakPreview" zoomScale="60" zoomScalePageLayoutView="0" workbookViewId="0" topLeftCell="A226">
      <selection activeCell="A1" sqref="A1:IV16384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17.28125" style="187" customWidth="1"/>
    <col min="6" max="6" width="20.8515625" style="187" customWidth="1"/>
    <col min="7" max="7" width="16.851562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6384" width="9.140625" style="187" customWidth="1"/>
  </cols>
  <sheetData>
    <row r="1" spans="5:6" ht="15.75" customHeight="1">
      <c r="E1" s="558"/>
      <c r="F1" s="558"/>
    </row>
    <row r="2" spans="1:26" s="191" customFormat="1" ht="40.5" customHeight="1">
      <c r="A2" s="559" t="s">
        <v>544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60"/>
      <c r="C3" s="560"/>
      <c r="D3" s="560"/>
      <c r="E3" s="560"/>
      <c r="F3" s="560"/>
      <c r="G3" s="560"/>
      <c r="H3" s="560"/>
      <c r="I3" s="56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61" t="s">
        <v>545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</row>
    <row r="5" spans="2:31" ht="15.75" customHeight="1">
      <c r="B5" s="187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2:31" ht="15.75" customHeight="1">
      <c r="B6" s="195" t="s">
        <v>546</v>
      </c>
      <c r="C6" s="195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2:31" ht="15.75" customHeight="1">
      <c r="B7" s="187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2:31" ht="15.75" customHeight="1">
      <c r="B8" s="195" t="s">
        <v>547</v>
      </c>
      <c r="C8" s="195"/>
      <c r="D8" s="195" t="s">
        <v>708</v>
      </c>
      <c r="E8" s="195"/>
      <c r="F8" s="194"/>
      <c r="G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2:31" ht="15.75" customHeight="1">
      <c r="B9" s="187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2:31" ht="15.75" customHeight="1">
      <c r="B10" s="196" t="s">
        <v>549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2:31" ht="15.75" customHeight="1">
      <c r="B11" s="187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83" ht="48" customHeight="1">
      <c r="A12" s="562" t="s">
        <v>550</v>
      </c>
      <c r="B12" s="563" t="s">
        <v>551</v>
      </c>
      <c r="C12" s="563" t="s">
        <v>552</v>
      </c>
      <c r="D12" s="566" t="s">
        <v>553</v>
      </c>
      <c r="E12" s="567"/>
      <c r="F12" s="567"/>
      <c r="G12" s="568"/>
      <c r="H12" s="548" t="s">
        <v>554</v>
      </c>
      <c r="I12" s="548" t="s">
        <v>555</v>
      </c>
      <c r="J12" s="548" t="s">
        <v>556</v>
      </c>
      <c r="K12" s="551" t="s">
        <v>557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4"/>
      <c r="BY12" s="194"/>
      <c r="BZ12" s="194"/>
      <c r="CA12" s="194"/>
      <c r="CB12" s="194"/>
      <c r="CC12" s="194"/>
      <c r="CD12" s="194"/>
      <c r="CE12" s="194"/>
    </row>
    <row r="13" spans="1:73" ht="15.75" customHeight="1">
      <c r="A13" s="562"/>
      <c r="B13" s="564"/>
      <c r="C13" s="564"/>
      <c r="D13" s="198" t="s">
        <v>36</v>
      </c>
      <c r="E13" s="552" t="s">
        <v>4</v>
      </c>
      <c r="F13" s="553"/>
      <c r="G13" s="553"/>
      <c r="H13" s="549"/>
      <c r="I13" s="549"/>
      <c r="J13" s="549"/>
      <c r="K13" s="551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</row>
    <row r="14" spans="1:31" ht="46.5" customHeight="1">
      <c r="A14" s="562"/>
      <c r="B14" s="565"/>
      <c r="C14" s="565"/>
      <c r="D14" s="200"/>
      <c r="E14" s="201" t="s">
        <v>558</v>
      </c>
      <c r="F14" s="201" t="s">
        <v>559</v>
      </c>
      <c r="G14" s="199" t="s">
        <v>560</v>
      </c>
      <c r="H14" s="550"/>
      <c r="I14" s="550"/>
      <c r="J14" s="550"/>
      <c r="K14" s="551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4"/>
      <c r="AB14" s="194"/>
      <c r="AC14" s="194"/>
      <c r="AD14" s="194"/>
      <c r="AE14" s="194"/>
    </row>
    <row r="15" spans="1:31" ht="15.75" customHeight="1">
      <c r="A15" s="202">
        <v>1</v>
      </c>
      <c r="B15" s="203">
        <v>2</v>
      </c>
      <c r="C15" s="203">
        <v>3</v>
      </c>
      <c r="D15" s="204">
        <v>4</v>
      </c>
      <c r="E15" s="205">
        <v>5</v>
      </c>
      <c r="F15" s="206">
        <v>6</v>
      </c>
      <c r="G15" s="203">
        <v>7</v>
      </c>
      <c r="H15" s="203">
        <v>8</v>
      </c>
      <c r="I15" s="203">
        <v>9</v>
      </c>
      <c r="J15" s="206">
        <v>10</v>
      </c>
      <c r="K15" s="206">
        <v>11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94"/>
      <c r="AB15" s="194"/>
      <c r="AC15" s="194"/>
      <c r="AD15" s="194"/>
      <c r="AE15" s="194"/>
    </row>
    <row r="16" spans="1:31" ht="15.75" customHeight="1">
      <c r="A16" s="208"/>
      <c r="B16" s="209" t="s">
        <v>561</v>
      </c>
      <c r="C16" s="334">
        <v>2</v>
      </c>
      <c r="D16" s="334">
        <f>SUM(E16:G16)</f>
        <v>3120</v>
      </c>
      <c r="E16" s="241">
        <v>0</v>
      </c>
      <c r="F16" s="241">
        <v>0</v>
      </c>
      <c r="G16" s="334">
        <v>3120</v>
      </c>
      <c r="H16" s="334">
        <v>0</v>
      </c>
      <c r="I16" s="334">
        <v>1.15</v>
      </c>
      <c r="J16" s="335">
        <f>(C16*D16*(1+H16/100)*I16*12)</f>
        <v>86111.99999999999</v>
      </c>
      <c r="K16" s="213" t="s">
        <v>562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194"/>
      <c r="AB16" s="194"/>
      <c r="AC16" s="194"/>
      <c r="AD16" s="194"/>
      <c r="AE16" s="194"/>
    </row>
    <row r="17" spans="1:31" ht="15.75" customHeight="1">
      <c r="A17" s="208"/>
      <c r="B17" s="209" t="s">
        <v>563</v>
      </c>
      <c r="C17" s="334">
        <v>3</v>
      </c>
      <c r="D17" s="334">
        <f>SUM(E17:G17)</f>
        <v>2500</v>
      </c>
      <c r="E17" s="241">
        <v>0</v>
      </c>
      <c r="F17" s="241">
        <v>0</v>
      </c>
      <c r="G17" s="334">
        <v>2500</v>
      </c>
      <c r="H17" s="334">
        <v>0</v>
      </c>
      <c r="I17" s="334">
        <v>1.15</v>
      </c>
      <c r="J17" s="335">
        <f>(C17*D17*(1+H17/100)*I17*12)</f>
        <v>103500</v>
      </c>
      <c r="K17" s="213" t="s">
        <v>562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194"/>
      <c r="AB17" s="194"/>
      <c r="AC17" s="194"/>
      <c r="AD17" s="194"/>
      <c r="AE17" s="194"/>
    </row>
    <row r="18" spans="1:31" ht="15.75" customHeight="1">
      <c r="A18" s="208"/>
      <c r="B18" s="209" t="s">
        <v>564</v>
      </c>
      <c r="C18" s="334">
        <v>44</v>
      </c>
      <c r="D18" s="334">
        <f>SUM(E18:G18)</f>
        <v>3689.69</v>
      </c>
      <c r="E18" s="241">
        <v>0</v>
      </c>
      <c r="F18" s="241">
        <v>0</v>
      </c>
      <c r="G18" s="334">
        <v>3689.69</v>
      </c>
      <c r="H18" s="334">
        <v>0</v>
      </c>
      <c r="I18" s="334">
        <v>1.15</v>
      </c>
      <c r="J18" s="335">
        <f>(C18*D18*(1+H18/100)*I18*12)</f>
        <v>2240379.768</v>
      </c>
      <c r="K18" s="213" t="s">
        <v>562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194"/>
      <c r="AB18" s="194"/>
      <c r="AC18" s="194"/>
      <c r="AD18" s="194"/>
      <c r="AE18" s="194"/>
    </row>
    <row r="19" spans="1:31" ht="15.75" customHeight="1">
      <c r="A19" s="208"/>
      <c r="B19" s="209" t="s">
        <v>564</v>
      </c>
      <c r="C19" s="334">
        <v>2</v>
      </c>
      <c r="D19" s="334">
        <f>SUM(E19:G19)</f>
        <v>100000</v>
      </c>
      <c r="E19" s="241">
        <v>0</v>
      </c>
      <c r="F19" s="241">
        <v>100000</v>
      </c>
      <c r="G19" s="334">
        <v>0</v>
      </c>
      <c r="H19" s="334">
        <v>0</v>
      </c>
      <c r="I19" s="334">
        <v>1.15</v>
      </c>
      <c r="J19" s="335">
        <f>D19</f>
        <v>100000</v>
      </c>
      <c r="K19" s="213" t="s">
        <v>562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194"/>
      <c r="AB19" s="194"/>
      <c r="AC19" s="194"/>
      <c r="AD19" s="194"/>
      <c r="AE19" s="194"/>
    </row>
    <row r="20" spans="1:31" ht="15.75" customHeight="1">
      <c r="A20" s="208"/>
      <c r="B20" s="209" t="s">
        <v>564</v>
      </c>
      <c r="C20" s="334">
        <v>1</v>
      </c>
      <c r="D20" s="334">
        <f>SUM(E20:G20)</f>
        <v>90000</v>
      </c>
      <c r="E20" s="241">
        <v>0</v>
      </c>
      <c r="F20" s="241">
        <v>90000</v>
      </c>
      <c r="G20" s="334">
        <v>0</v>
      </c>
      <c r="H20" s="334">
        <v>0</v>
      </c>
      <c r="I20" s="334">
        <v>1.15</v>
      </c>
      <c r="J20" s="335">
        <f>D20</f>
        <v>90000</v>
      </c>
      <c r="K20" s="213" t="s">
        <v>562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194"/>
      <c r="AB20" s="194"/>
      <c r="AC20" s="194"/>
      <c r="AD20" s="194"/>
      <c r="AE20" s="194"/>
    </row>
    <row r="21" spans="1:31" ht="15.75" customHeight="1">
      <c r="A21" s="208"/>
      <c r="B21" s="215" t="s">
        <v>566</v>
      </c>
      <c r="C21" s="336" t="s">
        <v>567</v>
      </c>
      <c r="D21" s="336"/>
      <c r="E21" s="307" t="s">
        <v>567</v>
      </c>
      <c r="F21" s="307" t="s">
        <v>567</v>
      </c>
      <c r="G21" s="336" t="s">
        <v>567</v>
      </c>
      <c r="H21" s="336" t="s">
        <v>567</v>
      </c>
      <c r="I21" s="336" t="s">
        <v>567</v>
      </c>
      <c r="J21" s="337">
        <f>SUM(J16:J20)</f>
        <v>2619991.768</v>
      </c>
      <c r="K21" s="205" t="s">
        <v>567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194"/>
      <c r="AB21" s="194"/>
      <c r="AC21" s="194"/>
      <c r="AD21" s="194"/>
      <c r="AE21" s="194"/>
    </row>
    <row r="22" spans="1:31" ht="15.75" customHeight="1">
      <c r="A22" s="208"/>
      <c r="B22" s="209" t="s">
        <v>561</v>
      </c>
      <c r="C22" s="338"/>
      <c r="D22" s="338"/>
      <c r="E22" s="335"/>
      <c r="F22" s="335"/>
      <c r="G22" s="339"/>
      <c r="H22" s="339"/>
      <c r="I22" s="339"/>
      <c r="J22" s="335">
        <f>(C22*D22*(1+H22/100)*I22*12)</f>
        <v>0</v>
      </c>
      <c r="K22" s="213" t="s">
        <v>568</v>
      </c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194"/>
      <c r="AB22" s="194"/>
      <c r="AC22" s="194"/>
      <c r="AD22" s="194"/>
      <c r="AE22" s="194"/>
    </row>
    <row r="23" spans="1:31" ht="15.75" customHeight="1">
      <c r="A23" s="208"/>
      <c r="B23" s="209" t="s">
        <v>563</v>
      </c>
      <c r="C23" s="338"/>
      <c r="D23" s="338"/>
      <c r="E23" s="335"/>
      <c r="F23" s="335"/>
      <c r="G23" s="339"/>
      <c r="H23" s="339"/>
      <c r="I23" s="339"/>
      <c r="J23" s="335">
        <f>(C23*D23*(1+H23/100)*I23*12)</f>
        <v>0</v>
      </c>
      <c r="K23" s="213" t="s">
        <v>568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194"/>
      <c r="AB23" s="194"/>
      <c r="AC23" s="194"/>
      <c r="AD23" s="194"/>
      <c r="AE23" s="194"/>
    </row>
    <row r="24" spans="1:31" ht="15.75" customHeight="1">
      <c r="A24" s="208"/>
      <c r="B24" s="209" t="s">
        <v>564</v>
      </c>
      <c r="C24" s="338">
        <v>0</v>
      </c>
      <c r="D24" s="338">
        <v>0</v>
      </c>
      <c r="E24" s="335"/>
      <c r="F24" s="335"/>
      <c r="G24" s="339"/>
      <c r="H24" s="339"/>
      <c r="I24" s="339"/>
      <c r="J24" s="335">
        <f>D24</f>
        <v>0</v>
      </c>
      <c r="K24" s="213" t="s">
        <v>568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94"/>
      <c r="AB24" s="194"/>
      <c r="AC24" s="194"/>
      <c r="AD24" s="194"/>
      <c r="AE24" s="194"/>
    </row>
    <row r="25" spans="1:31" ht="15.75" customHeight="1">
      <c r="A25" s="208"/>
      <c r="B25" s="209" t="s">
        <v>565</v>
      </c>
      <c r="C25" s="338"/>
      <c r="D25" s="338"/>
      <c r="E25" s="335"/>
      <c r="F25" s="335"/>
      <c r="G25" s="339"/>
      <c r="H25" s="339"/>
      <c r="I25" s="339"/>
      <c r="J25" s="335">
        <f>(C25*D25*(1+H25/100)*I25*12)</f>
        <v>0</v>
      </c>
      <c r="K25" s="213" t="s">
        <v>568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194"/>
      <c r="AB25" s="194"/>
      <c r="AC25" s="194"/>
      <c r="AD25" s="194"/>
      <c r="AE25" s="194"/>
    </row>
    <row r="26" spans="1:31" ht="15.75" customHeight="1">
      <c r="A26" s="208"/>
      <c r="B26" s="215" t="s">
        <v>566</v>
      </c>
      <c r="C26" s="338" t="s">
        <v>567</v>
      </c>
      <c r="D26" s="338"/>
      <c r="E26" s="335" t="s">
        <v>567</v>
      </c>
      <c r="F26" s="335" t="s">
        <v>567</v>
      </c>
      <c r="G26" s="339" t="s">
        <v>567</v>
      </c>
      <c r="H26" s="339" t="s">
        <v>567</v>
      </c>
      <c r="I26" s="339" t="s">
        <v>567</v>
      </c>
      <c r="J26" s="335">
        <f>SUM(J22:J25)</f>
        <v>0</v>
      </c>
      <c r="K26" s="205" t="s">
        <v>567</v>
      </c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</row>
    <row r="27" spans="1:11" ht="15.75" customHeight="1">
      <c r="A27" s="554" t="s">
        <v>566</v>
      </c>
      <c r="B27" s="555"/>
      <c r="C27" s="340">
        <f>SUM(C16:C26)</f>
        <v>52</v>
      </c>
      <c r="D27" s="341"/>
      <c r="E27" s="341"/>
      <c r="F27" s="341"/>
      <c r="G27" s="341"/>
      <c r="H27" s="341"/>
      <c r="I27" s="341"/>
      <c r="J27" s="293">
        <f>J21+J26</f>
        <v>2619991.768</v>
      </c>
      <c r="K27" s="221"/>
    </row>
    <row r="28" spans="1:11" ht="15.75" customHeight="1">
      <c r="A28" s="194"/>
      <c r="B28" s="222"/>
      <c r="C28" s="223"/>
      <c r="D28" s="222"/>
      <c r="E28" s="222"/>
      <c r="F28" s="222"/>
      <c r="G28" s="222"/>
      <c r="H28" s="222"/>
      <c r="I28" s="222"/>
      <c r="J28" s="224"/>
      <c r="K28" s="225"/>
    </row>
    <row r="29" spans="1:11" ht="208.5" customHeight="1">
      <c r="A29" s="556" t="s">
        <v>569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</row>
    <row r="30" spans="2:11" ht="15.75" customHeight="1">
      <c r="B30" s="557"/>
      <c r="C30" s="557"/>
      <c r="D30" s="557"/>
      <c r="E30" s="557"/>
      <c r="F30" s="557"/>
      <c r="G30" s="557"/>
      <c r="H30" s="557"/>
      <c r="I30" s="557"/>
      <c r="J30" s="557"/>
      <c r="K30" s="557"/>
    </row>
    <row r="31" spans="2:9" ht="21" customHeight="1">
      <c r="B31" s="547" t="s">
        <v>570</v>
      </c>
      <c r="C31" s="547"/>
      <c r="D31" s="547"/>
      <c r="E31" s="547"/>
      <c r="F31" s="547"/>
      <c r="G31" s="547"/>
      <c r="H31" s="547"/>
      <c r="I31" s="547"/>
    </row>
    <row r="33" spans="1:9" ht="26.25" customHeight="1">
      <c r="A33" s="487" t="s">
        <v>550</v>
      </c>
      <c r="B33" s="489" t="s">
        <v>571</v>
      </c>
      <c r="C33" s="489" t="s">
        <v>572</v>
      </c>
      <c r="D33" s="489" t="s">
        <v>573</v>
      </c>
      <c r="E33" s="489" t="s">
        <v>574</v>
      </c>
      <c r="F33" s="535" t="s">
        <v>575</v>
      </c>
      <c r="G33" s="536"/>
      <c r="H33" s="537"/>
      <c r="I33" s="228"/>
    </row>
    <row r="34" spans="1:9" ht="39.75" customHeight="1">
      <c r="A34" s="488"/>
      <c r="B34" s="490"/>
      <c r="C34" s="490"/>
      <c r="D34" s="490"/>
      <c r="E34" s="490"/>
      <c r="F34" s="229" t="s">
        <v>33</v>
      </c>
      <c r="G34" s="227" t="s">
        <v>562</v>
      </c>
      <c r="H34" s="229" t="s">
        <v>568</v>
      </c>
      <c r="I34" s="230"/>
    </row>
    <row r="35" spans="1:9" ht="15.75">
      <c r="A35" s="208">
        <v>1</v>
      </c>
      <c r="B35" s="231">
        <v>2</v>
      </c>
      <c r="C35" s="231">
        <v>3</v>
      </c>
      <c r="D35" s="231">
        <v>4</v>
      </c>
      <c r="E35" s="231">
        <v>5</v>
      </c>
      <c r="F35" s="231">
        <v>6</v>
      </c>
      <c r="G35" s="232">
        <v>7</v>
      </c>
      <c r="H35" s="231">
        <v>8</v>
      </c>
      <c r="I35" s="233"/>
    </row>
    <row r="36" spans="1:9" ht="15.75">
      <c r="A36" s="208"/>
      <c r="B36" s="202"/>
      <c r="C36" s="208"/>
      <c r="D36" s="208"/>
      <c r="E36" s="208"/>
      <c r="F36" s="234"/>
      <c r="G36" s="235"/>
      <c r="H36" s="234"/>
      <c r="I36" s="194"/>
    </row>
    <row r="37" spans="1:9" ht="15.75">
      <c r="A37" s="208"/>
      <c r="B37" s="202"/>
      <c r="C37" s="208"/>
      <c r="D37" s="208"/>
      <c r="E37" s="208"/>
      <c r="F37" s="208"/>
      <c r="G37" s="235"/>
      <c r="H37" s="234"/>
      <c r="I37" s="194"/>
    </row>
    <row r="38" spans="1:9" ht="15.75">
      <c r="A38" s="478" t="s">
        <v>576</v>
      </c>
      <c r="B38" s="480"/>
      <c r="C38" s="202" t="s">
        <v>567</v>
      </c>
      <c r="D38" s="202" t="s">
        <v>567</v>
      </c>
      <c r="E38" s="202" t="s">
        <v>567</v>
      </c>
      <c r="F38" s="208"/>
      <c r="G38" s="235"/>
      <c r="H38" s="234"/>
      <c r="I38" s="194"/>
    </row>
    <row r="40" spans="2:6" ht="15.75">
      <c r="B40" s="546" t="s">
        <v>577</v>
      </c>
      <c r="C40" s="546"/>
      <c r="D40" s="546"/>
      <c r="E40" s="546"/>
      <c r="F40" s="546"/>
    </row>
    <row r="42" spans="1:9" ht="26.25" customHeight="1">
      <c r="A42" s="487" t="s">
        <v>550</v>
      </c>
      <c r="B42" s="489" t="s">
        <v>571</v>
      </c>
      <c r="C42" s="489" t="s">
        <v>578</v>
      </c>
      <c r="D42" s="489" t="s">
        <v>579</v>
      </c>
      <c r="E42" s="489" t="s">
        <v>580</v>
      </c>
      <c r="F42" s="491" t="s">
        <v>575</v>
      </c>
      <c r="G42" s="491"/>
      <c r="H42" s="491"/>
      <c r="I42" s="228"/>
    </row>
    <row r="43" spans="1:9" ht="51" customHeight="1">
      <c r="A43" s="488"/>
      <c r="B43" s="490"/>
      <c r="C43" s="490"/>
      <c r="D43" s="490"/>
      <c r="E43" s="490"/>
      <c r="F43" s="229" t="s">
        <v>33</v>
      </c>
      <c r="G43" s="229" t="s">
        <v>562</v>
      </c>
      <c r="H43" s="229" t="s">
        <v>568</v>
      </c>
      <c r="I43" s="230"/>
    </row>
    <row r="44" spans="1:9" ht="15.75">
      <c r="A44" s="208">
        <v>1</v>
      </c>
      <c r="B44" s="231">
        <v>2</v>
      </c>
      <c r="C44" s="231">
        <v>3</v>
      </c>
      <c r="D44" s="231">
        <v>4</v>
      </c>
      <c r="E44" s="231">
        <v>5</v>
      </c>
      <c r="F44" s="231">
        <v>6</v>
      </c>
      <c r="G44" s="231">
        <v>7</v>
      </c>
      <c r="H44" s="231">
        <v>8</v>
      </c>
      <c r="I44" s="233"/>
    </row>
    <row r="45" spans="1:9" ht="15.75">
      <c r="A45" s="208"/>
      <c r="B45" s="202"/>
      <c r="C45" s="208"/>
      <c r="D45" s="208"/>
      <c r="E45" s="208"/>
      <c r="F45" s="234"/>
      <c r="G45" s="234"/>
      <c r="H45" s="234"/>
      <c r="I45" s="194"/>
    </row>
    <row r="46" spans="1:9" ht="15.75">
      <c r="A46" s="208"/>
      <c r="B46" s="202"/>
      <c r="C46" s="208"/>
      <c r="D46" s="208"/>
      <c r="E46" s="208"/>
      <c r="F46" s="208"/>
      <c r="G46" s="234"/>
      <c r="H46" s="234"/>
      <c r="I46" s="194"/>
    </row>
    <row r="47" spans="1:9" ht="15.75">
      <c r="A47" s="478" t="s">
        <v>576</v>
      </c>
      <c r="B47" s="480"/>
      <c r="C47" s="202" t="s">
        <v>567</v>
      </c>
      <c r="D47" s="202" t="s">
        <v>567</v>
      </c>
      <c r="E47" s="202" t="s">
        <v>567</v>
      </c>
      <c r="F47" s="208"/>
      <c r="G47" s="234"/>
      <c r="H47" s="234"/>
      <c r="I47" s="194"/>
    </row>
    <row r="49" spans="2:9" ht="33" customHeight="1">
      <c r="B49" s="545" t="s">
        <v>581</v>
      </c>
      <c r="C49" s="545"/>
      <c r="D49" s="545"/>
      <c r="E49" s="545"/>
      <c r="F49" s="545"/>
      <c r="G49" s="545"/>
      <c r="H49" s="545"/>
      <c r="I49" s="545"/>
    </row>
    <row r="51" spans="1:9" ht="31.5" customHeight="1">
      <c r="A51" s="483" t="s">
        <v>550</v>
      </c>
      <c r="B51" s="491" t="s">
        <v>582</v>
      </c>
      <c r="C51" s="491"/>
      <c r="D51" s="491"/>
      <c r="E51" s="489" t="s">
        <v>583</v>
      </c>
      <c r="F51" s="491" t="s">
        <v>584</v>
      </c>
      <c r="G51" s="491"/>
      <c r="H51" s="491"/>
      <c r="I51" s="236"/>
    </row>
    <row r="52" spans="1:9" ht="31.5" customHeight="1">
      <c r="A52" s="484"/>
      <c r="B52" s="491"/>
      <c r="C52" s="491"/>
      <c r="D52" s="491"/>
      <c r="E52" s="490"/>
      <c r="F52" s="229" t="s">
        <v>585</v>
      </c>
      <c r="G52" s="229" t="s">
        <v>562</v>
      </c>
      <c r="H52" s="229" t="s">
        <v>568</v>
      </c>
      <c r="I52" s="230"/>
    </row>
    <row r="53" spans="1:9" ht="17.25" customHeight="1">
      <c r="A53" s="237">
        <v>1</v>
      </c>
      <c r="B53" s="544">
        <v>2</v>
      </c>
      <c r="C53" s="544"/>
      <c r="D53" s="544"/>
      <c r="E53" s="202">
        <v>3</v>
      </c>
      <c r="F53" s="202">
        <v>4</v>
      </c>
      <c r="G53" s="202">
        <v>5</v>
      </c>
      <c r="H53" s="202">
        <v>6</v>
      </c>
      <c r="I53" s="239"/>
    </row>
    <row r="54" spans="1:9" s="189" customFormat="1" ht="32.25" customHeight="1">
      <c r="A54" s="240">
        <v>1</v>
      </c>
      <c r="B54" s="541" t="s">
        <v>586</v>
      </c>
      <c r="C54" s="542"/>
      <c r="D54" s="543"/>
      <c r="E54" s="234" t="s">
        <v>567</v>
      </c>
      <c r="F54" s="234"/>
      <c r="G54" s="234"/>
      <c r="H54" s="234"/>
      <c r="I54" s="194"/>
    </row>
    <row r="55" spans="1:9" ht="34.5" customHeight="1">
      <c r="A55" s="240" t="s">
        <v>587</v>
      </c>
      <c r="B55" s="541" t="s">
        <v>588</v>
      </c>
      <c r="C55" s="542"/>
      <c r="D55" s="543"/>
      <c r="E55" s="241">
        <f>J21-J20-J19</f>
        <v>2429991.768</v>
      </c>
      <c r="F55" s="241">
        <f>SUM(G55:H55)</f>
        <v>534595.47</v>
      </c>
      <c r="G55" s="241">
        <f>ROUND(E55*22%,2)-0.62-2.1</f>
        <v>534595.47</v>
      </c>
      <c r="H55" s="208"/>
      <c r="I55" s="194"/>
    </row>
    <row r="56" spans="1:9" ht="16.5" customHeight="1">
      <c r="A56" s="240" t="s">
        <v>589</v>
      </c>
      <c r="B56" s="541" t="s">
        <v>590</v>
      </c>
      <c r="C56" s="542"/>
      <c r="D56" s="543"/>
      <c r="E56" s="242">
        <v>0</v>
      </c>
      <c r="F56" s="242"/>
      <c r="G56" s="242"/>
      <c r="H56" s="208"/>
      <c r="I56" s="194"/>
    </row>
    <row r="57" spans="1:9" ht="34.5" customHeight="1">
      <c r="A57" s="240" t="s">
        <v>591</v>
      </c>
      <c r="B57" s="541" t="s">
        <v>592</v>
      </c>
      <c r="C57" s="542"/>
      <c r="D57" s="543"/>
      <c r="E57" s="242">
        <v>0</v>
      </c>
      <c r="F57" s="242"/>
      <c r="G57" s="242"/>
      <c r="H57" s="208"/>
      <c r="I57" s="194"/>
    </row>
    <row r="58" spans="1:9" ht="33" customHeight="1">
      <c r="A58" s="240" t="s">
        <v>593</v>
      </c>
      <c r="B58" s="541" t="s">
        <v>594</v>
      </c>
      <c r="C58" s="542"/>
      <c r="D58" s="543"/>
      <c r="E58" s="241">
        <f>SUM(F58:G58)</f>
        <v>0</v>
      </c>
      <c r="F58" s="241">
        <f>SUM(G58:H58)</f>
        <v>0</v>
      </c>
      <c r="G58" s="242"/>
      <c r="H58" s="208"/>
      <c r="I58" s="194"/>
    </row>
    <row r="59" spans="1:9" ht="41.25" customHeight="1">
      <c r="A59" s="240" t="s">
        <v>595</v>
      </c>
      <c r="B59" s="538" t="s">
        <v>596</v>
      </c>
      <c r="C59" s="539"/>
      <c r="D59" s="540"/>
      <c r="E59" s="241">
        <f>E55</f>
        <v>2429991.768</v>
      </c>
      <c r="F59" s="241">
        <f>SUM(G59:H59)</f>
        <v>70469.76</v>
      </c>
      <c r="G59" s="241">
        <f>ROUND(E59*2.9%,2)</f>
        <v>70469.76</v>
      </c>
      <c r="H59" s="208"/>
      <c r="I59" s="194"/>
    </row>
    <row r="60" spans="1:9" ht="34.5" customHeight="1">
      <c r="A60" s="240" t="s">
        <v>597</v>
      </c>
      <c r="B60" s="541" t="s">
        <v>598</v>
      </c>
      <c r="C60" s="542"/>
      <c r="D60" s="543"/>
      <c r="E60" s="242">
        <v>0</v>
      </c>
      <c r="F60" s="242"/>
      <c r="G60" s="242"/>
      <c r="H60" s="208"/>
      <c r="I60" s="194"/>
    </row>
    <row r="61" spans="1:9" ht="33.75" customHeight="1">
      <c r="A61" s="240" t="s">
        <v>599</v>
      </c>
      <c r="B61" s="541" t="s">
        <v>600</v>
      </c>
      <c r="C61" s="542"/>
      <c r="D61" s="543"/>
      <c r="E61" s="241">
        <f>E59</f>
        <v>2429991.768</v>
      </c>
      <c r="F61" s="241">
        <f>SUM(G61:H61)</f>
        <v>4859.98</v>
      </c>
      <c r="G61" s="241">
        <f>ROUND(E61*0.2%,2)</f>
        <v>4859.98</v>
      </c>
      <c r="H61" s="208"/>
      <c r="I61" s="194"/>
    </row>
    <row r="62" spans="1:9" ht="33.75" customHeight="1">
      <c r="A62" s="240" t="s">
        <v>601</v>
      </c>
      <c r="B62" s="541" t="s">
        <v>602</v>
      </c>
      <c r="C62" s="542"/>
      <c r="D62" s="543"/>
      <c r="E62" s="242">
        <v>0</v>
      </c>
      <c r="F62" s="242"/>
      <c r="G62" s="242"/>
      <c r="H62" s="208"/>
      <c r="I62" s="194"/>
    </row>
    <row r="63" spans="1:9" ht="39.75" customHeight="1">
      <c r="A63" s="240" t="s">
        <v>603</v>
      </c>
      <c r="B63" s="541" t="s">
        <v>602</v>
      </c>
      <c r="C63" s="542"/>
      <c r="D63" s="543"/>
      <c r="E63" s="242">
        <v>0</v>
      </c>
      <c r="F63" s="242"/>
      <c r="G63" s="242"/>
      <c r="H63" s="208"/>
      <c r="I63" s="194"/>
    </row>
    <row r="64" spans="1:9" ht="30" customHeight="1">
      <c r="A64" s="240" t="s">
        <v>604</v>
      </c>
      <c r="B64" s="541" t="s">
        <v>605</v>
      </c>
      <c r="C64" s="542"/>
      <c r="D64" s="543"/>
      <c r="E64" s="241">
        <f>E61</f>
        <v>2429991.768</v>
      </c>
      <c r="F64" s="241">
        <f>SUM(G64:H64)</f>
        <v>123929.58</v>
      </c>
      <c r="G64" s="241">
        <f>ROUND(E64*5.1%,2)</f>
        <v>123929.58</v>
      </c>
      <c r="H64" s="208"/>
      <c r="I64" s="194"/>
    </row>
    <row r="65" spans="1:9" ht="30.75" customHeight="1">
      <c r="A65" s="531" t="s">
        <v>576</v>
      </c>
      <c r="B65" s="531"/>
      <c r="C65" s="531"/>
      <c r="D65" s="531"/>
      <c r="E65" s="242" t="s">
        <v>567</v>
      </c>
      <c r="F65" s="243">
        <f>SUM(F55:F64)</f>
        <v>733854.7899999999</v>
      </c>
      <c r="G65" s="243">
        <f>SUM(G55:G64)</f>
        <v>733854.7899999999</v>
      </c>
      <c r="H65" s="244">
        <f>H54+H58+H64</f>
        <v>0</v>
      </c>
      <c r="I65" s="194"/>
    </row>
    <row r="66" spans="2:6" ht="16.5" customHeight="1">
      <c r="B66" s="245"/>
      <c r="C66" s="245"/>
      <c r="D66" s="245"/>
      <c r="E66" s="239"/>
      <c r="F66" s="194"/>
    </row>
    <row r="67" spans="1:11" ht="99" customHeight="1">
      <c r="A67" s="532" t="s">
        <v>606</v>
      </c>
      <c r="B67" s="532"/>
      <c r="C67" s="532"/>
      <c r="D67" s="532"/>
      <c r="E67" s="532"/>
      <c r="F67" s="532"/>
      <c r="G67" s="532"/>
      <c r="H67" s="532"/>
      <c r="I67" s="532"/>
      <c r="J67" s="532"/>
      <c r="K67" s="532"/>
    </row>
    <row r="68" spans="2:6" ht="21" customHeight="1">
      <c r="B68" s="533"/>
      <c r="C68" s="533"/>
      <c r="D68" s="533"/>
      <c r="E68" s="533"/>
      <c r="F68" s="533"/>
    </row>
    <row r="69" spans="1:11" s="247" customFormat="1" ht="27" customHeight="1">
      <c r="A69" s="522" t="s">
        <v>607</v>
      </c>
      <c r="B69" s="522"/>
      <c r="C69" s="522"/>
      <c r="D69" s="522"/>
      <c r="E69" s="522"/>
      <c r="F69" s="522"/>
      <c r="G69" s="522"/>
      <c r="H69" s="522"/>
      <c r="I69" s="522"/>
      <c r="J69" s="522"/>
      <c r="K69" s="522"/>
    </row>
    <row r="70" spans="1:11" s="247" customFormat="1" ht="16.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</row>
    <row r="71" spans="2:31" ht="15.75" customHeight="1">
      <c r="B71" s="195" t="s">
        <v>608</v>
      </c>
      <c r="C71" s="195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</row>
    <row r="72" spans="2:31" ht="15.75" customHeight="1">
      <c r="B72" s="187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</row>
    <row r="73" spans="2:31" ht="15.75" customHeight="1">
      <c r="B73" s="195" t="s">
        <v>547</v>
      </c>
      <c r="C73" s="195"/>
      <c r="D73" s="195" t="s">
        <v>708</v>
      </c>
      <c r="E73" s="195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</row>
    <row r="74" spans="2:31" ht="15.75" customHeight="1">
      <c r="B74" s="187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</row>
    <row r="75" spans="1:9" s="247" customFormat="1" ht="15.75" customHeight="1">
      <c r="A75" s="483" t="s">
        <v>550</v>
      </c>
      <c r="B75" s="534" t="s">
        <v>1</v>
      </c>
      <c r="C75" s="534"/>
      <c r="D75" s="534"/>
      <c r="E75" s="534" t="s">
        <v>610</v>
      </c>
      <c r="F75" s="534" t="s">
        <v>611</v>
      </c>
      <c r="G75" s="535" t="s">
        <v>584</v>
      </c>
      <c r="H75" s="536"/>
      <c r="I75" s="537"/>
    </row>
    <row r="76" spans="1:49" s="247" customFormat="1" ht="51" customHeight="1">
      <c r="A76" s="484"/>
      <c r="B76" s="534"/>
      <c r="C76" s="534"/>
      <c r="D76" s="534"/>
      <c r="E76" s="534"/>
      <c r="F76" s="534"/>
      <c r="G76" s="229" t="s">
        <v>612</v>
      </c>
      <c r="H76" s="227" t="s">
        <v>562</v>
      </c>
      <c r="I76" s="229" t="s">
        <v>568</v>
      </c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</row>
    <row r="77" spans="1:49" s="247" customFormat="1" ht="15.75">
      <c r="A77" s="250">
        <v>1</v>
      </c>
      <c r="B77" s="526">
        <v>2</v>
      </c>
      <c r="C77" s="526"/>
      <c r="D77" s="526"/>
      <c r="E77" s="250">
        <v>3</v>
      </c>
      <c r="F77" s="251">
        <v>4</v>
      </c>
      <c r="G77" s="252">
        <v>4</v>
      </c>
      <c r="H77" s="253">
        <v>5</v>
      </c>
      <c r="I77" s="252">
        <v>6</v>
      </c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</row>
    <row r="78" spans="1:49" s="247" customFormat="1" ht="32.25" customHeight="1">
      <c r="A78" s="254" t="s">
        <v>613</v>
      </c>
      <c r="B78" s="527" t="s">
        <v>709</v>
      </c>
      <c r="C78" s="527"/>
      <c r="D78" s="527"/>
      <c r="E78" s="255">
        <v>62.51</v>
      </c>
      <c r="F78" s="342">
        <v>6337.754</v>
      </c>
      <c r="G78" s="343">
        <f>SUM(H78:J78)</f>
        <v>396173.00253999996</v>
      </c>
      <c r="H78" s="343">
        <f>E78*F78</f>
        <v>396173.00253999996</v>
      </c>
      <c r="I78" s="343">
        <v>0</v>
      </c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</row>
    <row r="79" spans="1:49" s="247" customFormat="1" ht="30.75" customHeight="1">
      <c r="A79" s="254" t="s">
        <v>593</v>
      </c>
      <c r="B79" s="527" t="s">
        <v>710</v>
      </c>
      <c r="C79" s="527"/>
      <c r="D79" s="527"/>
      <c r="E79" s="255">
        <v>62.51</v>
      </c>
      <c r="F79" s="342">
        <v>1991.8573</v>
      </c>
      <c r="G79" s="343">
        <f aca="true" t="shared" si="0" ref="G79:G84">SUM(H79:J79)</f>
        <v>124510.99982299999</v>
      </c>
      <c r="H79" s="343">
        <f>E79*F79</f>
        <v>124510.99982299999</v>
      </c>
      <c r="I79" s="343">
        <v>0</v>
      </c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</row>
    <row r="80" spans="1:49" s="247" customFormat="1" ht="35.25" customHeight="1">
      <c r="A80" s="254" t="s">
        <v>604</v>
      </c>
      <c r="B80" s="527" t="s">
        <v>711</v>
      </c>
      <c r="C80" s="527"/>
      <c r="D80" s="527"/>
      <c r="E80" s="255">
        <v>2759</v>
      </c>
      <c r="F80" s="342">
        <v>3</v>
      </c>
      <c r="G80" s="343">
        <f t="shared" si="0"/>
        <v>8617</v>
      </c>
      <c r="H80" s="343">
        <f>E80*F80+340</f>
        <v>8617</v>
      </c>
      <c r="I80" s="343">
        <v>0</v>
      </c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</row>
    <row r="81" spans="1:49" s="247" customFormat="1" ht="31.5" customHeight="1">
      <c r="A81" s="254" t="s">
        <v>712</v>
      </c>
      <c r="B81" s="527" t="s">
        <v>713</v>
      </c>
      <c r="C81" s="527"/>
      <c r="D81" s="527"/>
      <c r="E81" s="255">
        <v>2735</v>
      </c>
      <c r="F81" s="344">
        <v>8</v>
      </c>
      <c r="G81" s="343">
        <f t="shared" si="0"/>
        <v>21880</v>
      </c>
      <c r="H81" s="343">
        <f>E81*F81</f>
        <v>21880</v>
      </c>
      <c r="I81" s="343">
        <v>0</v>
      </c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</row>
    <row r="82" spans="1:49" s="247" customFormat="1" ht="36.75" customHeight="1">
      <c r="A82" s="254" t="s">
        <v>714</v>
      </c>
      <c r="B82" s="527" t="s">
        <v>241</v>
      </c>
      <c r="C82" s="527"/>
      <c r="D82" s="527"/>
      <c r="E82" s="255">
        <v>62.51</v>
      </c>
      <c r="F82" s="342">
        <v>14026.1878</v>
      </c>
      <c r="G82" s="343">
        <f t="shared" si="0"/>
        <v>876776.9993779999</v>
      </c>
      <c r="H82" s="343">
        <v>0</v>
      </c>
      <c r="I82" s="343">
        <f>E82*F82</f>
        <v>876776.9993779999</v>
      </c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</row>
    <row r="83" spans="1:49" s="247" customFormat="1" ht="36.75" customHeight="1">
      <c r="A83" s="254" t="s">
        <v>715</v>
      </c>
      <c r="B83" s="527" t="s">
        <v>269</v>
      </c>
      <c r="C83" s="527"/>
      <c r="D83" s="527"/>
      <c r="E83" s="255">
        <v>106.86</v>
      </c>
      <c r="F83" s="344">
        <v>0</v>
      </c>
      <c r="G83" s="343">
        <f t="shared" si="0"/>
        <v>0</v>
      </c>
      <c r="H83" s="343">
        <v>0</v>
      </c>
      <c r="I83" s="343">
        <v>0</v>
      </c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</row>
    <row r="84" spans="1:49" s="247" customFormat="1" ht="36.75" customHeight="1">
      <c r="A84" s="254" t="s">
        <v>716</v>
      </c>
      <c r="B84" s="552"/>
      <c r="C84" s="553"/>
      <c r="D84" s="569"/>
      <c r="E84" s="255"/>
      <c r="F84" s="342">
        <v>0</v>
      </c>
      <c r="G84" s="343">
        <f t="shared" si="0"/>
        <v>0</v>
      </c>
      <c r="H84" s="343">
        <v>0</v>
      </c>
      <c r="I84" s="343">
        <v>0</v>
      </c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</row>
    <row r="85" spans="1:49" s="247" customFormat="1" ht="36.75" customHeight="1">
      <c r="A85" s="254" t="s">
        <v>717</v>
      </c>
      <c r="B85" s="552"/>
      <c r="C85" s="553"/>
      <c r="D85" s="569"/>
      <c r="E85" s="255"/>
      <c r="F85" s="256"/>
      <c r="G85" s="234"/>
      <c r="H85" s="235"/>
      <c r="I85" s="23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</row>
    <row r="86" spans="1:49" s="247" customFormat="1" ht="36.75" customHeight="1">
      <c r="A86" s="254" t="s">
        <v>718</v>
      </c>
      <c r="B86" s="552"/>
      <c r="C86" s="553"/>
      <c r="D86" s="569"/>
      <c r="E86" s="255"/>
      <c r="F86" s="256"/>
      <c r="G86" s="234"/>
      <c r="H86" s="235"/>
      <c r="I86" s="23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</row>
    <row r="87" spans="1:49" s="347" customFormat="1" ht="15.75">
      <c r="A87" s="570" t="s">
        <v>566</v>
      </c>
      <c r="B87" s="571"/>
      <c r="C87" s="571"/>
      <c r="D87" s="572"/>
      <c r="E87" s="220" t="s">
        <v>567</v>
      </c>
      <c r="F87" s="345" t="s">
        <v>567</v>
      </c>
      <c r="G87" s="221"/>
      <c r="H87" s="346">
        <f>SUM(H78:H86)</f>
        <v>551181.002363</v>
      </c>
      <c r="I87" s="293">
        <f>SUM(I78:I86)</f>
        <v>876776.9993779999</v>
      </c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</row>
    <row r="88" spans="6:49" s="247" customFormat="1" ht="15.75"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</row>
    <row r="89" spans="1:49" s="247" customFormat="1" ht="69" customHeight="1">
      <c r="A89" s="500" t="s">
        <v>614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</row>
    <row r="90" s="247" customFormat="1" ht="15.75"/>
    <row r="91" spans="1:11" ht="15.75" customHeight="1">
      <c r="A91" s="522" t="s">
        <v>615</v>
      </c>
      <c r="B91" s="522"/>
      <c r="C91" s="522"/>
      <c r="D91" s="522"/>
      <c r="E91" s="522"/>
      <c r="F91" s="522"/>
      <c r="G91" s="522"/>
      <c r="H91" s="522"/>
      <c r="I91" s="522"/>
      <c r="J91" s="522"/>
      <c r="K91" s="522"/>
    </row>
    <row r="92" spans="1:11" ht="15.75" customHeight="1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</row>
    <row r="93" spans="2:31" ht="15.75" customHeight="1">
      <c r="B93" s="195" t="s">
        <v>616</v>
      </c>
      <c r="C93" s="195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</row>
    <row r="94" spans="2:31" ht="15.75" customHeight="1">
      <c r="B94" s="187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</row>
    <row r="95" spans="2:31" ht="15.75" customHeight="1">
      <c r="B95" s="195" t="s">
        <v>547</v>
      </c>
      <c r="C95" s="195"/>
      <c r="D95" s="195" t="s">
        <v>708</v>
      </c>
      <c r="E95" s="195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pans="1:4" ht="15.75" customHeight="1">
      <c r="A96" s="196"/>
      <c r="B96" s="196"/>
      <c r="C96" s="196"/>
      <c r="D96" s="196"/>
    </row>
    <row r="97" spans="1:8" ht="15.75" customHeight="1">
      <c r="A97" s="483" t="s">
        <v>550</v>
      </c>
      <c r="B97" s="491" t="s">
        <v>617</v>
      </c>
      <c r="C97" s="491"/>
      <c r="D97" s="489" t="s">
        <v>618</v>
      </c>
      <c r="E97" s="489" t="s">
        <v>619</v>
      </c>
      <c r="F97" s="523" t="s">
        <v>584</v>
      </c>
      <c r="G97" s="524"/>
      <c r="H97" s="525"/>
    </row>
    <row r="98" spans="1:8" ht="51.75" customHeight="1">
      <c r="A98" s="484"/>
      <c r="B98" s="491"/>
      <c r="C98" s="491"/>
      <c r="D98" s="490"/>
      <c r="E98" s="490"/>
      <c r="F98" s="260" t="s">
        <v>620</v>
      </c>
      <c r="G98" s="227" t="s">
        <v>562</v>
      </c>
      <c r="H98" s="229" t="s">
        <v>568</v>
      </c>
    </row>
    <row r="99" spans="1:8" ht="15.75">
      <c r="A99" s="261">
        <v>1</v>
      </c>
      <c r="B99" s="519">
        <v>2</v>
      </c>
      <c r="C99" s="519"/>
      <c r="D99" s="261">
        <v>3</v>
      </c>
      <c r="E99" s="261">
        <v>4</v>
      </c>
      <c r="F99" s="261">
        <v>5</v>
      </c>
      <c r="G99" s="262">
        <v>6</v>
      </c>
      <c r="H99" s="261">
        <v>7</v>
      </c>
    </row>
    <row r="100" spans="1:8" ht="15.75">
      <c r="A100" s="202">
        <v>1</v>
      </c>
      <c r="B100" s="520"/>
      <c r="C100" s="520"/>
      <c r="D100" s="265"/>
      <c r="E100" s="265"/>
      <c r="F100" s="234"/>
      <c r="G100" s="235"/>
      <c r="H100" s="234"/>
    </row>
    <row r="101" spans="1:8" ht="15.75">
      <c r="A101" s="202">
        <v>2</v>
      </c>
      <c r="B101" s="520"/>
      <c r="C101" s="520"/>
      <c r="D101" s="265"/>
      <c r="E101" s="265"/>
      <c r="F101" s="234"/>
      <c r="G101" s="235"/>
      <c r="H101" s="234"/>
    </row>
    <row r="102" spans="1:8" ht="15.75">
      <c r="A102" s="503" t="s">
        <v>566</v>
      </c>
      <c r="B102" s="517"/>
      <c r="C102" s="504"/>
      <c r="D102" s="277"/>
      <c r="E102" s="268" t="s">
        <v>567</v>
      </c>
      <c r="F102" s="208"/>
      <c r="G102" s="235"/>
      <c r="H102" s="234"/>
    </row>
    <row r="103" spans="1:7" ht="15.75">
      <c r="A103" s="194"/>
      <c r="B103" s="194"/>
      <c r="C103" s="194"/>
      <c r="D103" s="194"/>
      <c r="E103" s="194"/>
      <c r="F103" s="194"/>
      <c r="G103" s="194"/>
    </row>
    <row r="104" spans="1:11" ht="49.5" customHeight="1">
      <c r="A104" s="505" t="s">
        <v>624</v>
      </c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</row>
    <row r="105" spans="1:7" ht="15.75">
      <c r="A105" s="194"/>
      <c r="B105" s="194"/>
      <c r="C105" s="194"/>
      <c r="D105" s="194"/>
      <c r="E105" s="194"/>
      <c r="F105" s="194"/>
      <c r="G105" s="194"/>
    </row>
    <row r="106" spans="1:11" ht="15.75">
      <c r="A106" s="514" t="s">
        <v>625</v>
      </c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</row>
    <row r="107" spans="1:7" ht="17.25" customHeight="1">
      <c r="A107" s="518" t="s">
        <v>626</v>
      </c>
      <c r="B107" s="518"/>
      <c r="C107" s="518"/>
      <c r="D107" s="518"/>
      <c r="E107" s="518"/>
      <c r="F107" s="194"/>
      <c r="G107" s="194"/>
    </row>
    <row r="108" spans="2:31" ht="15.75" customHeight="1">
      <c r="B108" s="187" t="s">
        <v>719</v>
      </c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</row>
    <row r="109" spans="2:31" ht="15.75" customHeight="1">
      <c r="B109" s="187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</row>
    <row r="110" spans="2:31" ht="15.75" customHeight="1">
      <c r="B110" s="187" t="s">
        <v>720</v>
      </c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</row>
    <row r="111" spans="1:7" ht="17.25" customHeight="1">
      <c r="A111" s="270"/>
      <c r="B111" s="270"/>
      <c r="C111" s="270"/>
      <c r="D111" s="270"/>
      <c r="E111" s="270"/>
      <c r="F111" s="194"/>
      <c r="G111" s="194"/>
    </row>
    <row r="112" spans="1:8" ht="15.75">
      <c r="A112" s="483" t="s">
        <v>550</v>
      </c>
      <c r="B112" s="508" t="s">
        <v>1</v>
      </c>
      <c r="C112" s="508" t="s">
        <v>610</v>
      </c>
      <c r="D112" s="508" t="s">
        <v>611</v>
      </c>
      <c r="E112" s="476" t="s">
        <v>584</v>
      </c>
      <c r="F112" s="509"/>
      <c r="G112" s="477"/>
      <c r="H112" s="259"/>
    </row>
    <row r="113" spans="1:50" ht="48.75" customHeight="1">
      <c r="A113" s="484"/>
      <c r="B113" s="508"/>
      <c r="C113" s="508"/>
      <c r="D113" s="508"/>
      <c r="E113" s="272" t="s">
        <v>612</v>
      </c>
      <c r="F113" s="273" t="s">
        <v>562</v>
      </c>
      <c r="G113" s="238" t="s">
        <v>568</v>
      </c>
      <c r="H113" s="274"/>
      <c r="I113" s="275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194"/>
    </row>
    <row r="114" spans="1:50" ht="14.25" customHeight="1">
      <c r="A114" s="231">
        <v>1</v>
      </c>
      <c r="B114" s="276">
        <v>2</v>
      </c>
      <c r="C114" s="276">
        <v>3</v>
      </c>
      <c r="D114" s="276">
        <v>4</v>
      </c>
      <c r="E114" s="276">
        <v>5</v>
      </c>
      <c r="F114" s="232">
        <v>6</v>
      </c>
      <c r="G114" s="231">
        <v>7</v>
      </c>
      <c r="H114" s="233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194"/>
    </row>
    <row r="115" spans="1:50" ht="15.75">
      <c r="A115" s="202"/>
      <c r="B115" s="272"/>
      <c r="C115" s="277"/>
      <c r="D115" s="277"/>
      <c r="E115" s="277"/>
      <c r="F115" s="257"/>
      <c r="G115" s="277"/>
      <c r="H115" s="278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194"/>
    </row>
    <row r="116" spans="1:50" ht="15.75">
      <c r="A116" s="202"/>
      <c r="B116" s="272"/>
      <c r="C116" s="277"/>
      <c r="D116" s="277"/>
      <c r="E116" s="277"/>
      <c r="F116" s="257"/>
      <c r="G116" s="277"/>
      <c r="H116" s="278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194"/>
    </row>
    <row r="117" spans="1:50" ht="15.75">
      <c r="A117" s="503" t="s">
        <v>566</v>
      </c>
      <c r="B117" s="504"/>
      <c r="C117" s="277" t="s">
        <v>567</v>
      </c>
      <c r="D117" s="277" t="s">
        <v>567</v>
      </c>
      <c r="E117" s="277"/>
      <c r="F117" s="257"/>
      <c r="G117" s="277"/>
      <c r="H117" s="278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194"/>
    </row>
    <row r="118" spans="1:50" ht="15.75">
      <c r="A118" s="279"/>
      <c r="B118" s="279"/>
      <c r="C118" s="278"/>
      <c r="D118" s="278"/>
      <c r="E118" s="278"/>
      <c r="F118" s="278"/>
      <c r="G118" s="278"/>
      <c r="H118" s="278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194"/>
    </row>
    <row r="119" spans="1:50" ht="36" customHeight="1">
      <c r="A119" s="515" t="s">
        <v>628</v>
      </c>
      <c r="B119" s="515"/>
      <c r="C119" s="515"/>
      <c r="D119" s="515"/>
      <c r="E119" s="515"/>
      <c r="F119" s="515"/>
      <c r="G119" s="515"/>
      <c r="H119" s="515"/>
      <c r="I119" s="515"/>
      <c r="J119" s="515"/>
      <c r="K119" s="515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194"/>
    </row>
    <row r="120" spans="2:11" ht="15.75">
      <c r="B120" s="187"/>
      <c r="I120" s="194"/>
      <c r="J120" s="280"/>
      <c r="K120" s="280"/>
    </row>
    <row r="121" spans="1:12" ht="15.75" customHeight="1">
      <c r="A121" s="516" t="s">
        <v>629</v>
      </c>
      <c r="B121" s="516"/>
      <c r="C121" s="516"/>
      <c r="D121" s="516"/>
      <c r="E121" s="516"/>
      <c r="F121" s="516"/>
      <c r="G121" s="516"/>
      <c r="H121" s="516"/>
      <c r="I121" s="516"/>
      <c r="J121" s="516"/>
      <c r="K121" s="516"/>
      <c r="L121" s="282"/>
    </row>
    <row r="122" spans="1:12" ht="15.75" customHeight="1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2"/>
    </row>
    <row r="123" spans="2:31" ht="15.75" customHeight="1">
      <c r="B123" s="187" t="s">
        <v>719</v>
      </c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</row>
    <row r="124" spans="2:31" ht="15.75" customHeight="1">
      <c r="B124" s="187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</row>
    <row r="125" spans="2:31" ht="15.75" customHeight="1">
      <c r="B125" s="187" t="s">
        <v>720</v>
      </c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</row>
    <row r="126" spans="1:12" ht="15.75" customHeight="1">
      <c r="A126" s="226"/>
      <c r="B126" s="226"/>
      <c r="C126" s="226"/>
      <c r="D126" s="226"/>
      <c r="E126" s="226"/>
      <c r="F126" s="226"/>
      <c r="G126" s="282"/>
      <c r="H126" s="282"/>
      <c r="I126" s="282"/>
      <c r="J126" s="282"/>
      <c r="K126" s="282"/>
      <c r="L126" s="282"/>
    </row>
    <row r="127" spans="1:8" ht="15.75" customHeight="1">
      <c r="A127" s="483" t="s">
        <v>550</v>
      </c>
      <c r="B127" s="508" t="s">
        <v>1</v>
      </c>
      <c r="C127" s="508" t="s">
        <v>610</v>
      </c>
      <c r="D127" s="508" t="s">
        <v>611</v>
      </c>
      <c r="E127" s="476" t="s">
        <v>584</v>
      </c>
      <c r="F127" s="509"/>
      <c r="G127" s="477"/>
      <c r="H127" s="259"/>
    </row>
    <row r="128" spans="1:50" ht="47.25" customHeight="1">
      <c r="A128" s="484"/>
      <c r="B128" s="508"/>
      <c r="C128" s="508"/>
      <c r="D128" s="508"/>
      <c r="E128" s="272" t="s">
        <v>612</v>
      </c>
      <c r="F128" s="238" t="s">
        <v>562</v>
      </c>
      <c r="G128" s="238" t="s">
        <v>568</v>
      </c>
      <c r="H128" s="274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194"/>
    </row>
    <row r="129" spans="1:50" ht="12" customHeight="1">
      <c r="A129" s="283">
        <v>1</v>
      </c>
      <c r="B129" s="284">
        <v>2</v>
      </c>
      <c r="C129" s="284">
        <v>3</v>
      </c>
      <c r="D129" s="284">
        <v>4</v>
      </c>
      <c r="E129" s="276">
        <v>5</v>
      </c>
      <c r="F129" s="231">
        <v>6</v>
      </c>
      <c r="G129" s="231">
        <v>7</v>
      </c>
      <c r="H129" s="233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194"/>
    </row>
    <row r="130" spans="1:50" ht="15.75">
      <c r="A130" s="202"/>
      <c r="B130" s="198"/>
      <c r="C130" s="204"/>
      <c r="D130" s="204"/>
      <c r="E130" s="277"/>
      <c r="F130" s="277"/>
      <c r="G130" s="277"/>
      <c r="H130" s="278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194"/>
    </row>
    <row r="131" spans="1:50" ht="15.75">
      <c r="A131" s="202"/>
      <c r="B131" s="198"/>
      <c r="C131" s="204"/>
      <c r="D131" s="204"/>
      <c r="E131" s="277"/>
      <c r="F131" s="277"/>
      <c r="G131" s="277"/>
      <c r="H131" s="278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194"/>
    </row>
    <row r="132" spans="1:50" ht="15.75">
      <c r="A132" s="503" t="s">
        <v>566</v>
      </c>
      <c r="B132" s="504"/>
      <c r="C132" s="204" t="s">
        <v>567</v>
      </c>
      <c r="D132" s="204" t="s">
        <v>567</v>
      </c>
      <c r="E132" s="277"/>
      <c r="F132" s="277"/>
      <c r="G132" s="277"/>
      <c r="H132" s="278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194"/>
    </row>
    <row r="133" spans="1:50" ht="15.75">
      <c r="A133" s="239"/>
      <c r="B133" s="194"/>
      <c r="C133" s="239"/>
      <c r="D133" s="239"/>
      <c r="E133" s="239"/>
      <c r="F133" s="239"/>
      <c r="G133" s="194"/>
      <c r="H133" s="280"/>
      <c r="I133" s="280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</row>
    <row r="134" spans="1:50" ht="39" customHeight="1">
      <c r="A134" s="505" t="s">
        <v>630</v>
      </c>
      <c r="B134" s="505"/>
      <c r="C134" s="505"/>
      <c r="D134" s="505"/>
      <c r="E134" s="505"/>
      <c r="F134" s="505"/>
      <c r="G134" s="505"/>
      <c r="H134" s="505"/>
      <c r="I134" s="505"/>
      <c r="J134" s="505"/>
      <c r="K134" s="505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</row>
    <row r="135" spans="1:50" ht="15.75">
      <c r="A135" s="239"/>
      <c r="B135" s="194"/>
      <c r="C135" s="239"/>
      <c r="D135" s="239"/>
      <c r="E135" s="239"/>
      <c r="F135" s="239"/>
      <c r="G135" s="194"/>
      <c r="H135" s="280"/>
      <c r="I135" s="280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</row>
    <row r="136" spans="1:11" ht="15.75">
      <c r="A136" s="514" t="s">
        <v>631</v>
      </c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</row>
    <row r="137" spans="1:10" ht="15.75">
      <c r="A137" s="239"/>
      <c r="B137" s="194"/>
      <c r="C137" s="239"/>
      <c r="D137" s="239"/>
      <c r="E137" s="239"/>
      <c r="F137" s="239"/>
      <c r="G137" s="194"/>
      <c r="H137" s="280"/>
      <c r="I137" s="280"/>
      <c r="J137" s="194"/>
    </row>
    <row r="138" spans="2:31" ht="15.75" customHeight="1">
      <c r="B138" s="195" t="s">
        <v>632</v>
      </c>
      <c r="C138" s="195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</row>
    <row r="139" spans="2:31" ht="15.75" customHeight="1">
      <c r="B139" s="187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</row>
    <row r="140" spans="2:31" ht="15.75" customHeight="1">
      <c r="B140" s="195" t="s">
        <v>547</v>
      </c>
      <c r="C140" s="195"/>
      <c r="D140" s="195" t="s">
        <v>708</v>
      </c>
      <c r="E140" s="195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</row>
    <row r="141" spans="1:10" ht="15.75">
      <c r="A141" s="239"/>
      <c r="B141" s="194"/>
      <c r="C141" s="239"/>
      <c r="D141" s="239"/>
      <c r="E141" s="239"/>
      <c r="F141" s="239"/>
      <c r="G141" s="194"/>
      <c r="H141" s="280"/>
      <c r="I141" s="280"/>
      <c r="J141" s="194"/>
    </row>
    <row r="142" spans="1:10" ht="15.75">
      <c r="A142" s="239"/>
      <c r="B142" s="225" t="s">
        <v>633</v>
      </c>
      <c r="C142" s="239"/>
      <c r="D142" s="239"/>
      <c r="E142" s="239"/>
      <c r="F142" s="239"/>
      <c r="G142" s="194"/>
      <c r="H142" s="280"/>
      <c r="I142" s="280"/>
      <c r="J142" s="194"/>
    </row>
    <row r="143" spans="1:10" ht="15.75">
      <c r="A143" s="285"/>
      <c r="B143" s="285"/>
      <c r="C143" s="285"/>
      <c r="D143" s="285"/>
      <c r="E143" s="239"/>
      <c r="F143" s="239"/>
      <c r="G143" s="194"/>
      <c r="H143" s="280"/>
      <c r="I143" s="280"/>
      <c r="J143" s="194"/>
    </row>
    <row r="144" spans="1:36" ht="22.5" customHeight="1">
      <c r="A144" s="483" t="s">
        <v>550</v>
      </c>
      <c r="B144" s="508" t="s">
        <v>571</v>
      </c>
      <c r="C144" s="508" t="s">
        <v>634</v>
      </c>
      <c r="D144" s="508" t="s">
        <v>635</v>
      </c>
      <c r="E144" s="508" t="s">
        <v>636</v>
      </c>
      <c r="F144" s="476" t="s">
        <v>584</v>
      </c>
      <c r="G144" s="509"/>
      <c r="H144" s="477"/>
      <c r="I144" s="259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</row>
    <row r="145" spans="1:36" ht="56.25" customHeight="1">
      <c r="A145" s="484"/>
      <c r="B145" s="508"/>
      <c r="C145" s="508"/>
      <c r="D145" s="508"/>
      <c r="E145" s="508"/>
      <c r="F145" s="248" t="s">
        <v>637</v>
      </c>
      <c r="G145" s="227" t="s">
        <v>562</v>
      </c>
      <c r="H145" s="229" t="s">
        <v>568</v>
      </c>
      <c r="I145" s="274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194"/>
    </row>
    <row r="146" spans="1:36" ht="15.75">
      <c r="A146" s="203">
        <v>1</v>
      </c>
      <c r="B146" s="203">
        <v>2</v>
      </c>
      <c r="C146" s="203">
        <v>3</v>
      </c>
      <c r="D146" s="203">
        <v>4</v>
      </c>
      <c r="E146" s="203">
        <v>5</v>
      </c>
      <c r="F146" s="206">
        <v>6</v>
      </c>
      <c r="G146" s="232">
        <v>7</v>
      </c>
      <c r="H146" s="231">
        <v>8</v>
      </c>
      <c r="I146" s="233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194"/>
    </row>
    <row r="147" spans="1:36" ht="15.75">
      <c r="A147" s="240"/>
      <c r="B147" s="199"/>
      <c r="C147" s="217"/>
      <c r="D147" s="217"/>
      <c r="E147" s="217"/>
      <c r="F147" s="205"/>
      <c r="G147" s="257"/>
      <c r="H147" s="277"/>
      <c r="I147" s="278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194"/>
    </row>
    <row r="148" spans="1:36" ht="15.75">
      <c r="A148" s="240"/>
      <c r="B148" s="199"/>
      <c r="C148" s="217"/>
      <c r="D148" s="217"/>
      <c r="E148" s="217"/>
      <c r="F148" s="205"/>
      <c r="G148" s="257"/>
      <c r="H148" s="277"/>
      <c r="I148" s="278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194"/>
    </row>
    <row r="149" spans="1:36" ht="15.75">
      <c r="A149" s="528" t="s">
        <v>640</v>
      </c>
      <c r="B149" s="530"/>
      <c r="C149" s="217" t="s">
        <v>567</v>
      </c>
      <c r="D149" s="217" t="s">
        <v>567</v>
      </c>
      <c r="E149" s="217" t="s">
        <v>567</v>
      </c>
      <c r="F149" s="205"/>
      <c r="G149" s="257"/>
      <c r="H149" s="277"/>
      <c r="I149" s="278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  <c r="AJ149" s="194"/>
    </row>
    <row r="150" spans="1:10" ht="15.75">
      <c r="A150" s="239"/>
      <c r="B150" s="194"/>
      <c r="C150" s="239"/>
      <c r="D150" s="239"/>
      <c r="E150" s="239"/>
      <c r="F150" s="239"/>
      <c r="G150" s="194"/>
      <c r="H150" s="280"/>
      <c r="I150" s="280"/>
      <c r="J150" s="194"/>
    </row>
    <row r="151" spans="1:11" ht="151.5" customHeight="1">
      <c r="A151" s="505" t="s">
        <v>641</v>
      </c>
      <c r="B151" s="505"/>
      <c r="C151" s="505"/>
      <c r="D151" s="505"/>
      <c r="E151" s="505"/>
      <c r="F151" s="505"/>
      <c r="G151" s="505"/>
      <c r="H151" s="505"/>
      <c r="I151" s="505"/>
      <c r="J151" s="505"/>
      <c r="K151" s="505"/>
    </row>
    <row r="152" spans="1:10" ht="15.75">
      <c r="A152" s="239"/>
      <c r="B152" s="194"/>
      <c r="C152" s="239"/>
      <c r="D152" s="239"/>
      <c r="E152" s="239"/>
      <c r="F152" s="239"/>
      <c r="G152" s="194"/>
      <c r="H152" s="280"/>
      <c r="I152" s="280"/>
      <c r="J152" s="194"/>
    </row>
    <row r="153" spans="1:10" ht="15.75">
      <c r="A153" s="285"/>
      <c r="B153" s="285" t="s">
        <v>642</v>
      </c>
      <c r="C153" s="285"/>
      <c r="D153" s="285"/>
      <c r="E153" s="285"/>
      <c r="F153" s="239"/>
      <c r="G153" s="194"/>
      <c r="H153" s="280"/>
      <c r="I153" s="280"/>
      <c r="J153" s="194"/>
    </row>
    <row r="154" spans="1:10" ht="15.75">
      <c r="A154" s="239"/>
      <c r="B154" s="194"/>
      <c r="C154" s="239"/>
      <c r="D154" s="239"/>
      <c r="E154" s="239"/>
      <c r="F154" s="239"/>
      <c r="G154" s="194"/>
      <c r="H154" s="280"/>
      <c r="I154" s="280"/>
      <c r="J154" s="194"/>
    </row>
    <row r="155" spans="1:10" ht="15.75">
      <c r="A155" s="483" t="s">
        <v>550</v>
      </c>
      <c r="B155" s="508" t="s">
        <v>571</v>
      </c>
      <c r="C155" s="508" t="s">
        <v>643</v>
      </c>
      <c r="D155" s="508" t="s">
        <v>644</v>
      </c>
      <c r="E155" s="476" t="s">
        <v>584</v>
      </c>
      <c r="F155" s="509"/>
      <c r="G155" s="477"/>
      <c r="H155" s="259"/>
      <c r="I155" s="280"/>
      <c r="J155" s="194"/>
    </row>
    <row r="156" spans="1:10" ht="31.5">
      <c r="A156" s="484"/>
      <c r="B156" s="508"/>
      <c r="C156" s="508"/>
      <c r="D156" s="508"/>
      <c r="E156" s="272" t="s">
        <v>645</v>
      </c>
      <c r="F156" s="273" t="s">
        <v>562</v>
      </c>
      <c r="G156" s="238" t="s">
        <v>568</v>
      </c>
      <c r="H156" s="274"/>
      <c r="I156" s="280"/>
      <c r="J156" s="194"/>
    </row>
    <row r="157" spans="1:10" ht="15.75">
      <c r="A157" s="283">
        <v>1</v>
      </c>
      <c r="B157" s="284">
        <v>2</v>
      </c>
      <c r="C157" s="284">
        <v>3</v>
      </c>
      <c r="D157" s="284">
        <v>4</v>
      </c>
      <c r="E157" s="276">
        <v>5</v>
      </c>
      <c r="F157" s="232">
        <v>6</v>
      </c>
      <c r="G157" s="231">
        <v>7</v>
      </c>
      <c r="H157" s="233"/>
      <c r="I157" s="280"/>
      <c r="J157" s="194"/>
    </row>
    <row r="158" spans="1:10" ht="15.75">
      <c r="A158" s="202"/>
      <c r="B158" s="198"/>
      <c r="C158" s="204"/>
      <c r="D158" s="204"/>
      <c r="E158" s="277"/>
      <c r="F158" s="257"/>
      <c r="G158" s="277"/>
      <c r="H158" s="278"/>
      <c r="I158" s="280"/>
      <c r="J158" s="194"/>
    </row>
    <row r="159" spans="1:10" ht="15.75">
      <c r="A159" s="202"/>
      <c r="B159" s="198"/>
      <c r="C159" s="204"/>
      <c r="D159" s="204"/>
      <c r="E159" s="277"/>
      <c r="F159" s="257"/>
      <c r="G159" s="277"/>
      <c r="H159" s="278"/>
      <c r="I159" s="280"/>
      <c r="J159" s="194"/>
    </row>
    <row r="160" spans="1:10" ht="15.75">
      <c r="A160" s="503" t="s">
        <v>566</v>
      </c>
      <c r="B160" s="504"/>
      <c r="C160" s="204" t="s">
        <v>567</v>
      </c>
      <c r="D160" s="204" t="s">
        <v>567</v>
      </c>
      <c r="E160" s="277"/>
      <c r="F160" s="257"/>
      <c r="G160" s="277"/>
      <c r="H160" s="278"/>
      <c r="I160" s="280"/>
      <c r="J160" s="194"/>
    </row>
    <row r="161" spans="1:10" ht="15.75">
      <c r="A161" s="239"/>
      <c r="B161" s="194"/>
      <c r="C161" s="239"/>
      <c r="D161" s="239"/>
      <c r="E161" s="239"/>
      <c r="F161" s="239"/>
      <c r="G161" s="194"/>
      <c r="H161" s="280"/>
      <c r="I161" s="280"/>
      <c r="J161" s="194"/>
    </row>
    <row r="162" spans="1:11" ht="36" customHeight="1">
      <c r="A162" s="511" t="s">
        <v>646</v>
      </c>
      <c r="B162" s="511"/>
      <c r="C162" s="511"/>
      <c r="D162" s="511"/>
      <c r="E162" s="511"/>
      <c r="F162" s="511"/>
      <c r="G162" s="511"/>
      <c r="H162" s="511"/>
      <c r="I162" s="511"/>
      <c r="J162" s="511"/>
      <c r="K162" s="511"/>
    </row>
    <row r="163" spans="1:10" ht="15.75">
      <c r="A163" s="239"/>
      <c r="B163" s="194"/>
      <c r="C163" s="239"/>
      <c r="D163" s="239"/>
      <c r="E163" s="239"/>
      <c r="F163" s="239"/>
      <c r="G163" s="194"/>
      <c r="H163" s="280"/>
      <c r="I163" s="280"/>
      <c r="J163" s="194"/>
    </row>
    <row r="164" spans="1:10" ht="15.75">
      <c r="A164" s="285"/>
      <c r="B164" s="285" t="s">
        <v>647</v>
      </c>
      <c r="C164" s="285"/>
      <c r="D164" s="285"/>
      <c r="E164" s="285"/>
      <c r="F164" s="285"/>
      <c r="G164" s="194"/>
      <c r="H164" s="280"/>
      <c r="I164" s="280"/>
      <c r="J164" s="194"/>
    </row>
    <row r="165" spans="1:10" ht="15.75">
      <c r="A165" s="239"/>
      <c r="B165" s="194"/>
      <c r="C165" s="239"/>
      <c r="D165" s="239"/>
      <c r="E165" s="239"/>
      <c r="F165" s="239"/>
      <c r="G165" s="194"/>
      <c r="H165" s="280"/>
      <c r="I165" s="280"/>
      <c r="J165" s="194"/>
    </row>
    <row r="166" spans="1:10" ht="15.75" customHeight="1">
      <c r="A166" s="483" t="s">
        <v>550</v>
      </c>
      <c r="B166" s="508" t="s">
        <v>1</v>
      </c>
      <c r="C166" s="508" t="s">
        <v>648</v>
      </c>
      <c r="D166" s="508" t="s">
        <v>649</v>
      </c>
      <c r="E166" s="508" t="s">
        <v>650</v>
      </c>
      <c r="F166" s="476" t="s">
        <v>584</v>
      </c>
      <c r="G166" s="509"/>
      <c r="H166" s="477"/>
      <c r="I166" s="259"/>
      <c r="J166" s="194"/>
    </row>
    <row r="167" spans="1:10" ht="47.25">
      <c r="A167" s="484"/>
      <c r="B167" s="508"/>
      <c r="C167" s="508"/>
      <c r="D167" s="508"/>
      <c r="E167" s="508"/>
      <c r="F167" s="271" t="s">
        <v>637</v>
      </c>
      <c r="G167" s="238" t="s">
        <v>562</v>
      </c>
      <c r="H167" s="238" t="s">
        <v>568</v>
      </c>
      <c r="I167" s="274"/>
      <c r="J167" s="194"/>
    </row>
    <row r="168" spans="1:10" ht="15.75">
      <c r="A168" s="203">
        <v>1</v>
      </c>
      <c r="B168" s="203">
        <v>2</v>
      </c>
      <c r="C168" s="203">
        <v>3</v>
      </c>
      <c r="D168" s="203">
        <v>4</v>
      </c>
      <c r="E168" s="203">
        <v>5</v>
      </c>
      <c r="F168" s="206">
        <v>6</v>
      </c>
      <c r="G168" s="231">
        <v>7</v>
      </c>
      <c r="H168" s="231">
        <v>8</v>
      </c>
      <c r="I168" s="233"/>
      <c r="J168" s="194"/>
    </row>
    <row r="169" spans="1:10" ht="15.75">
      <c r="A169" s="240"/>
      <c r="B169" s="199"/>
      <c r="C169" s="217"/>
      <c r="D169" s="217"/>
      <c r="E169" s="217"/>
      <c r="F169" s="205"/>
      <c r="G169" s="277"/>
      <c r="H169" s="277"/>
      <c r="I169" s="278"/>
      <c r="J169" s="194"/>
    </row>
    <row r="170" spans="1:10" ht="15.75">
      <c r="A170" s="240"/>
      <c r="B170" s="199"/>
      <c r="C170" s="217"/>
      <c r="D170" s="217"/>
      <c r="E170" s="217"/>
      <c r="F170" s="205"/>
      <c r="G170" s="277"/>
      <c r="H170" s="277"/>
      <c r="I170" s="278"/>
      <c r="J170" s="194"/>
    </row>
    <row r="171" spans="1:10" ht="15.75">
      <c r="A171" s="528" t="s">
        <v>640</v>
      </c>
      <c r="B171" s="530"/>
      <c r="C171" s="217" t="s">
        <v>567</v>
      </c>
      <c r="D171" s="217" t="s">
        <v>567</v>
      </c>
      <c r="E171" s="217" t="s">
        <v>567</v>
      </c>
      <c r="F171" s="205"/>
      <c r="G171" s="277"/>
      <c r="H171" s="277"/>
      <c r="I171" s="278"/>
      <c r="J171" s="194"/>
    </row>
    <row r="172" spans="1:10" ht="15.75">
      <c r="A172" s="239"/>
      <c r="B172" s="194"/>
      <c r="C172" s="239"/>
      <c r="D172" s="239"/>
      <c r="E172" s="239"/>
      <c r="F172" s="239"/>
      <c r="G172" s="194"/>
      <c r="H172" s="280"/>
      <c r="I172" s="280"/>
      <c r="J172" s="194"/>
    </row>
    <row r="173" spans="1:11" ht="66.75" customHeight="1">
      <c r="A173" s="505" t="s">
        <v>654</v>
      </c>
      <c r="B173" s="511"/>
      <c r="C173" s="511"/>
      <c r="D173" s="511"/>
      <c r="E173" s="511"/>
      <c r="F173" s="511"/>
      <c r="G173" s="511"/>
      <c r="H173" s="511"/>
      <c r="I173" s="511"/>
      <c r="J173" s="511"/>
      <c r="K173" s="511"/>
    </row>
    <row r="174" spans="1:10" ht="15.75">
      <c r="A174" s="239"/>
      <c r="B174" s="194"/>
      <c r="C174" s="239"/>
      <c r="D174" s="239"/>
      <c r="E174" s="239"/>
      <c r="F174" s="239"/>
      <c r="G174" s="194"/>
      <c r="H174" s="280"/>
      <c r="I174" s="280"/>
      <c r="J174" s="194"/>
    </row>
    <row r="175" spans="1:10" ht="15.75">
      <c r="A175" s="285"/>
      <c r="B175" s="285" t="s">
        <v>655</v>
      </c>
      <c r="C175" s="285"/>
      <c r="D175" s="285"/>
      <c r="E175" s="285"/>
      <c r="F175" s="239"/>
      <c r="G175" s="194"/>
      <c r="H175" s="280"/>
      <c r="I175" s="280"/>
      <c r="J175" s="194"/>
    </row>
    <row r="176" spans="1:10" ht="15.75">
      <c r="A176" s="239"/>
      <c r="B176" s="194"/>
      <c r="C176" s="239"/>
      <c r="D176" s="239"/>
      <c r="E176" s="239"/>
      <c r="F176" s="239"/>
      <c r="G176" s="194"/>
      <c r="H176" s="280"/>
      <c r="I176" s="280"/>
      <c r="J176" s="194"/>
    </row>
    <row r="177" spans="1:10" ht="15.75">
      <c r="A177" s="483" t="s">
        <v>550</v>
      </c>
      <c r="B177" s="508" t="s">
        <v>1</v>
      </c>
      <c r="C177" s="508" t="s">
        <v>656</v>
      </c>
      <c r="D177" s="508" t="s">
        <v>657</v>
      </c>
      <c r="E177" s="476" t="s">
        <v>584</v>
      </c>
      <c r="F177" s="509"/>
      <c r="G177" s="477"/>
      <c r="H177" s="259"/>
      <c r="I177" s="280"/>
      <c r="J177" s="194"/>
    </row>
    <row r="178" spans="1:10" ht="47.25">
      <c r="A178" s="484"/>
      <c r="B178" s="508"/>
      <c r="C178" s="508"/>
      <c r="D178" s="508"/>
      <c r="E178" s="272" t="s">
        <v>658</v>
      </c>
      <c r="F178" s="273" t="s">
        <v>562</v>
      </c>
      <c r="G178" s="238" t="s">
        <v>568</v>
      </c>
      <c r="H178" s="274"/>
      <c r="I178" s="280"/>
      <c r="J178" s="194"/>
    </row>
    <row r="179" spans="1:10" ht="15.75">
      <c r="A179" s="283">
        <v>1</v>
      </c>
      <c r="B179" s="284">
        <v>2</v>
      </c>
      <c r="C179" s="284">
        <v>3</v>
      </c>
      <c r="D179" s="284">
        <v>4</v>
      </c>
      <c r="E179" s="276">
        <v>5</v>
      </c>
      <c r="F179" s="232">
        <v>5</v>
      </c>
      <c r="G179" s="231">
        <v>6</v>
      </c>
      <c r="H179" s="233"/>
      <c r="I179" s="280"/>
      <c r="J179" s="194"/>
    </row>
    <row r="180" spans="1:10" ht="15.75">
      <c r="A180" s="202"/>
      <c r="B180" s="198"/>
      <c r="C180" s="204"/>
      <c r="D180" s="204"/>
      <c r="E180" s="277"/>
      <c r="F180" s="257"/>
      <c r="G180" s="277"/>
      <c r="H180" s="278"/>
      <c r="I180" s="280"/>
      <c r="J180" s="194"/>
    </row>
    <row r="181" spans="1:10" ht="15.75">
      <c r="A181" s="202"/>
      <c r="B181" s="198"/>
      <c r="C181" s="204"/>
      <c r="D181" s="204"/>
      <c r="E181" s="277"/>
      <c r="F181" s="257"/>
      <c r="G181" s="277"/>
      <c r="H181" s="278"/>
      <c r="I181" s="280"/>
      <c r="J181" s="194"/>
    </row>
    <row r="182" spans="1:10" ht="15.75">
      <c r="A182" s="503" t="s">
        <v>566</v>
      </c>
      <c r="B182" s="504"/>
      <c r="C182" s="204" t="s">
        <v>567</v>
      </c>
      <c r="D182" s="204" t="s">
        <v>567</v>
      </c>
      <c r="E182" s="277" t="s">
        <v>567</v>
      </c>
      <c r="F182" s="257"/>
      <c r="G182" s="277"/>
      <c r="H182" s="278"/>
      <c r="I182" s="280"/>
      <c r="J182" s="194"/>
    </row>
    <row r="183" spans="1:10" ht="15.75">
      <c r="A183" s="239"/>
      <c r="B183" s="194"/>
      <c r="C183" s="239"/>
      <c r="D183" s="239"/>
      <c r="E183" s="239"/>
      <c r="F183" s="239"/>
      <c r="G183" s="194"/>
      <c r="H183" s="280"/>
      <c r="I183" s="280"/>
      <c r="J183" s="194"/>
    </row>
    <row r="184" spans="1:11" ht="48" customHeight="1">
      <c r="A184" s="510" t="s">
        <v>659</v>
      </c>
      <c r="B184" s="510"/>
      <c r="C184" s="510"/>
      <c r="D184" s="510"/>
      <c r="E184" s="510"/>
      <c r="F184" s="510"/>
      <c r="G184" s="510"/>
      <c r="H184" s="510"/>
      <c r="I184" s="510"/>
      <c r="J184" s="510"/>
      <c r="K184" s="510"/>
    </row>
    <row r="185" spans="1:10" ht="15.75">
      <c r="A185" s="239"/>
      <c r="B185" s="194"/>
      <c r="C185" s="239"/>
      <c r="D185" s="239"/>
      <c r="E185" s="239"/>
      <c r="F185" s="239"/>
      <c r="G185" s="194"/>
      <c r="H185" s="280"/>
      <c r="I185" s="280"/>
      <c r="J185" s="194"/>
    </row>
    <row r="186" spans="1:10" ht="15.75">
      <c r="A186" s="285"/>
      <c r="B186" s="285" t="s">
        <v>660</v>
      </c>
      <c r="C186" s="285"/>
      <c r="D186" s="285"/>
      <c r="E186" s="285"/>
      <c r="F186" s="285"/>
      <c r="G186" s="194"/>
      <c r="H186" s="280"/>
      <c r="I186" s="280"/>
      <c r="J186" s="194"/>
    </row>
    <row r="187" spans="1:10" ht="15.75">
      <c r="A187" s="239"/>
      <c r="B187" s="194"/>
      <c r="C187" s="239"/>
      <c r="D187" s="239"/>
      <c r="E187" s="239"/>
      <c r="F187" s="239"/>
      <c r="G187" s="194"/>
      <c r="H187" s="280"/>
      <c r="I187" s="280"/>
      <c r="J187" s="194"/>
    </row>
    <row r="188" spans="1:10" ht="15.75">
      <c r="A188" s="483" t="s">
        <v>550</v>
      </c>
      <c r="B188" s="508" t="s">
        <v>571</v>
      </c>
      <c r="C188" s="508" t="s">
        <v>661</v>
      </c>
      <c r="D188" s="508" t="s">
        <v>662</v>
      </c>
      <c r="E188" s="476" t="s">
        <v>584</v>
      </c>
      <c r="F188" s="509"/>
      <c r="G188" s="477"/>
      <c r="H188" s="259"/>
      <c r="I188" s="280"/>
      <c r="J188" s="194"/>
    </row>
    <row r="189" spans="1:10" ht="47.25">
      <c r="A189" s="484"/>
      <c r="B189" s="508"/>
      <c r="C189" s="508"/>
      <c r="D189" s="508"/>
      <c r="E189" s="272" t="s">
        <v>663</v>
      </c>
      <c r="F189" s="273" t="s">
        <v>562</v>
      </c>
      <c r="G189" s="238" t="s">
        <v>568</v>
      </c>
      <c r="H189" s="274"/>
      <c r="I189" s="280"/>
      <c r="J189" s="194"/>
    </row>
    <row r="190" spans="1:10" ht="15.75">
      <c r="A190" s="283">
        <v>1</v>
      </c>
      <c r="B190" s="284">
        <v>2</v>
      </c>
      <c r="C190" s="284">
        <v>3</v>
      </c>
      <c r="D190" s="284">
        <v>4</v>
      </c>
      <c r="E190" s="276">
        <v>5</v>
      </c>
      <c r="F190" s="232">
        <v>5</v>
      </c>
      <c r="G190" s="231">
        <v>6</v>
      </c>
      <c r="H190" s="233"/>
      <c r="I190" s="280"/>
      <c r="J190" s="194"/>
    </row>
    <row r="191" spans="1:10" ht="15.75">
      <c r="A191" s="202"/>
      <c r="B191" s="198"/>
      <c r="C191" s="204"/>
      <c r="D191" s="204"/>
      <c r="E191" s="277"/>
      <c r="F191" s="257"/>
      <c r="G191" s="277"/>
      <c r="H191" s="278"/>
      <c r="I191" s="280"/>
      <c r="J191" s="194"/>
    </row>
    <row r="192" spans="1:10" ht="15.75">
      <c r="A192" s="202"/>
      <c r="B192" s="198"/>
      <c r="C192" s="204"/>
      <c r="D192" s="204"/>
      <c r="E192" s="277"/>
      <c r="F192" s="257"/>
      <c r="G192" s="277"/>
      <c r="H192" s="278"/>
      <c r="I192" s="280"/>
      <c r="J192" s="194"/>
    </row>
    <row r="193" spans="1:10" ht="15.75">
      <c r="A193" s="503" t="s">
        <v>566</v>
      </c>
      <c r="B193" s="504"/>
      <c r="C193" s="204" t="s">
        <v>567</v>
      </c>
      <c r="D193" s="204" t="s">
        <v>567</v>
      </c>
      <c r="E193" s="277"/>
      <c r="F193" s="257"/>
      <c r="G193" s="277"/>
      <c r="H193" s="278"/>
      <c r="I193" s="280"/>
      <c r="J193" s="194"/>
    </row>
    <row r="194" spans="1:10" ht="15.75">
      <c r="A194" s="239"/>
      <c r="B194" s="194"/>
      <c r="C194" s="239"/>
      <c r="D194" s="239"/>
      <c r="E194" s="239"/>
      <c r="F194" s="239"/>
      <c r="G194" s="194"/>
      <c r="H194" s="280"/>
      <c r="I194" s="280"/>
      <c r="J194" s="194"/>
    </row>
    <row r="195" spans="1:11" ht="53.25" customHeight="1">
      <c r="A195" s="505" t="s">
        <v>676</v>
      </c>
      <c r="B195" s="505"/>
      <c r="C195" s="505"/>
      <c r="D195" s="505"/>
      <c r="E195" s="505"/>
      <c r="F195" s="505"/>
      <c r="G195" s="505"/>
      <c r="H195" s="505"/>
      <c r="I195" s="505"/>
      <c r="J195" s="505"/>
      <c r="K195" s="505"/>
    </row>
    <row r="196" spans="1:10" ht="15.75">
      <c r="A196" s="239"/>
      <c r="B196" s="194"/>
      <c r="C196" s="239"/>
      <c r="D196" s="239"/>
      <c r="E196" s="239"/>
      <c r="F196" s="239"/>
      <c r="G196" s="194"/>
      <c r="H196" s="280"/>
      <c r="I196" s="280"/>
      <c r="J196" s="194"/>
    </row>
    <row r="197" spans="1:10" ht="15.75">
      <c r="A197" s="285"/>
      <c r="B197" s="285" t="s">
        <v>677</v>
      </c>
      <c r="C197" s="285"/>
      <c r="D197" s="285"/>
      <c r="E197" s="285"/>
      <c r="F197" s="239"/>
      <c r="G197" s="194"/>
      <c r="H197" s="280"/>
      <c r="I197" s="280"/>
      <c r="J197" s="194"/>
    </row>
    <row r="198" spans="1:10" ht="15.75">
      <c r="A198" s="239"/>
      <c r="B198" s="194"/>
      <c r="C198" s="239"/>
      <c r="D198" s="239"/>
      <c r="E198" s="239"/>
      <c r="F198" s="239"/>
      <c r="G198" s="194"/>
      <c r="H198" s="280"/>
      <c r="I198" s="280"/>
      <c r="J198" s="194"/>
    </row>
    <row r="199" spans="1:10" ht="15.75">
      <c r="A199" s="483" t="s">
        <v>550</v>
      </c>
      <c r="B199" s="508" t="s">
        <v>1</v>
      </c>
      <c r="C199" s="508" t="s">
        <v>678</v>
      </c>
      <c r="D199" s="476" t="s">
        <v>584</v>
      </c>
      <c r="E199" s="509"/>
      <c r="F199" s="477"/>
      <c r="G199" s="259"/>
      <c r="H199" s="280"/>
      <c r="I199" s="280"/>
      <c r="J199" s="194"/>
    </row>
    <row r="200" spans="1:10" ht="31.5">
      <c r="A200" s="484"/>
      <c r="B200" s="508"/>
      <c r="C200" s="508"/>
      <c r="D200" s="272" t="s">
        <v>679</v>
      </c>
      <c r="E200" s="238" t="s">
        <v>562</v>
      </c>
      <c r="F200" s="238" t="s">
        <v>568</v>
      </c>
      <c r="G200" s="274"/>
      <c r="H200" s="280"/>
      <c r="I200" s="280"/>
      <c r="J200" s="194"/>
    </row>
    <row r="201" spans="1:10" ht="15.75">
      <c r="A201" s="283">
        <v>1</v>
      </c>
      <c r="B201" s="284">
        <v>2</v>
      </c>
      <c r="C201" s="284">
        <v>3</v>
      </c>
      <c r="D201" s="276">
        <v>5</v>
      </c>
      <c r="E201" s="231">
        <v>5</v>
      </c>
      <c r="F201" s="231">
        <v>6</v>
      </c>
      <c r="G201" s="233"/>
      <c r="H201" s="280"/>
      <c r="I201" s="280"/>
      <c r="J201" s="194"/>
    </row>
    <row r="202" spans="1:10" ht="15.75">
      <c r="A202" s="202"/>
      <c r="B202" s="198"/>
      <c r="C202" s="204"/>
      <c r="D202" s="277"/>
      <c r="E202" s="277"/>
      <c r="F202" s="277"/>
      <c r="G202" s="278"/>
      <c r="H202" s="280"/>
      <c r="I202" s="280"/>
      <c r="J202" s="194"/>
    </row>
    <row r="203" spans="1:10" ht="15.75">
      <c r="A203" s="202"/>
      <c r="B203" s="198"/>
      <c r="C203" s="204"/>
      <c r="D203" s="277"/>
      <c r="E203" s="277"/>
      <c r="F203" s="277"/>
      <c r="G203" s="278"/>
      <c r="H203" s="280"/>
      <c r="I203" s="280"/>
      <c r="J203" s="194"/>
    </row>
    <row r="204" spans="1:10" ht="15.75">
      <c r="A204" s="503" t="s">
        <v>566</v>
      </c>
      <c r="B204" s="504"/>
      <c r="C204" s="204" t="s">
        <v>567</v>
      </c>
      <c r="D204" s="277"/>
      <c r="E204" s="277"/>
      <c r="F204" s="277"/>
      <c r="G204" s="278"/>
      <c r="H204" s="280"/>
      <c r="I204" s="280"/>
      <c r="J204" s="194"/>
    </row>
    <row r="205" spans="1:10" ht="15.75">
      <c r="A205" s="239"/>
      <c r="B205" s="194"/>
      <c r="C205" s="239"/>
      <c r="D205" s="239"/>
      <c r="E205" s="239"/>
      <c r="F205" s="239"/>
      <c r="G205" s="194"/>
      <c r="H205" s="280"/>
      <c r="I205" s="280"/>
      <c r="J205" s="194"/>
    </row>
    <row r="206" spans="1:11" ht="149.25" customHeight="1">
      <c r="A206" s="505" t="s">
        <v>684</v>
      </c>
      <c r="B206" s="505"/>
      <c r="C206" s="505"/>
      <c r="D206" s="505"/>
      <c r="E206" s="505"/>
      <c r="F206" s="505"/>
      <c r="G206" s="505"/>
      <c r="H206" s="505"/>
      <c r="I206" s="505"/>
      <c r="J206" s="505"/>
      <c r="K206" s="505"/>
    </row>
    <row r="207" spans="1:10" ht="15.75">
      <c r="A207" s="239"/>
      <c r="B207" s="194"/>
      <c r="C207" s="239"/>
      <c r="D207" s="239"/>
      <c r="E207" s="239"/>
      <c r="F207" s="239"/>
      <c r="G207" s="194"/>
      <c r="H207" s="280"/>
      <c r="I207" s="280"/>
      <c r="J207" s="194"/>
    </row>
    <row r="208" spans="1:4" ht="15.75">
      <c r="A208" s="196"/>
      <c r="B208" s="196" t="s">
        <v>685</v>
      </c>
      <c r="C208" s="196"/>
      <c r="D208" s="196"/>
    </row>
    <row r="209" ht="15.75">
      <c r="B209" s="187"/>
    </row>
    <row r="210" spans="1:10" ht="25.5" customHeight="1">
      <c r="A210" s="483" t="s">
        <v>550</v>
      </c>
      <c r="B210" s="483" t="s">
        <v>571</v>
      </c>
      <c r="C210" s="485"/>
      <c r="D210" s="487" t="s">
        <v>656</v>
      </c>
      <c r="E210" s="489" t="s">
        <v>686</v>
      </c>
      <c r="F210" s="491" t="s">
        <v>584</v>
      </c>
      <c r="G210" s="491"/>
      <c r="H210" s="491"/>
      <c r="I210" s="312"/>
      <c r="J210" s="228"/>
    </row>
    <row r="211" spans="1:10" ht="54.75" customHeight="1">
      <c r="A211" s="484"/>
      <c r="B211" s="484"/>
      <c r="C211" s="486"/>
      <c r="D211" s="488"/>
      <c r="E211" s="490"/>
      <c r="F211" s="229" t="s">
        <v>687</v>
      </c>
      <c r="G211" s="229" t="s">
        <v>562</v>
      </c>
      <c r="H211" s="229" t="s">
        <v>568</v>
      </c>
      <c r="I211" s="194"/>
      <c r="J211" s="230"/>
    </row>
    <row r="212" spans="1:10" ht="15.75" customHeight="1">
      <c r="A212" s="234">
        <v>1</v>
      </c>
      <c r="B212" s="492">
        <v>2</v>
      </c>
      <c r="C212" s="493"/>
      <c r="D212" s="234">
        <v>3</v>
      </c>
      <c r="E212" s="234">
        <v>4</v>
      </c>
      <c r="F212" s="234">
        <v>5</v>
      </c>
      <c r="G212" s="234">
        <v>6</v>
      </c>
      <c r="H212" s="234">
        <v>7</v>
      </c>
      <c r="I212" s="280"/>
      <c r="J212" s="280"/>
    </row>
    <row r="213" spans="1:10" ht="15.75">
      <c r="A213" s="208"/>
      <c r="B213" s="476"/>
      <c r="C213" s="477"/>
      <c r="D213" s="208"/>
      <c r="E213" s="208"/>
      <c r="F213" s="208"/>
      <c r="G213" s="234"/>
      <c r="H213" s="234"/>
      <c r="I213" s="280"/>
      <c r="J213" s="194"/>
    </row>
    <row r="214" spans="1:10" ht="15.75">
      <c r="A214" s="208"/>
      <c r="B214" s="476"/>
      <c r="C214" s="477"/>
      <c r="D214" s="208"/>
      <c r="E214" s="208"/>
      <c r="F214" s="208"/>
      <c r="G214" s="208"/>
      <c r="H214" s="234"/>
      <c r="I214" s="280"/>
      <c r="J214" s="194"/>
    </row>
    <row r="215" spans="1:10" ht="15.75">
      <c r="A215" s="478" t="s">
        <v>576</v>
      </c>
      <c r="B215" s="479"/>
      <c r="C215" s="480"/>
      <c r="D215" s="202"/>
      <c r="E215" s="202" t="s">
        <v>567</v>
      </c>
      <c r="F215" s="202"/>
      <c r="G215" s="208"/>
      <c r="H215" s="208"/>
      <c r="I215" s="194"/>
      <c r="J215" s="194"/>
    </row>
    <row r="216" ht="15.75">
      <c r="B216" s="187"/>
    </row>
    <row r="217" spans="1:4" ht="15.75">
      <c r="A217" s="196"/>
      <c r="B217" s="196" t="s">
        <v>691</v>
      </c>
      <c r="C217" s="196"/>
      <c r="D217" s="196"/>
    </row>
    <row r="218" ht="15.75">
      <c r="B218" s="187"/>
    </row>
    <row r="219" spans="1:10" ht="25.5" customHeight="1">
      <c r="A219" s="483" t="s">
        <v>550</v>
      </c>
      <c r="B219" s="483" t="s">
        <v>571</v>
      </c>
      <c r="C219" s="485"/>
      <c r="D219" s="487" t="s">
        <v>656</v>
      </c>
      <c r="E219" s="489" t="s">
        <v>686</v>
      </c>
      <c r="F219" s="491" t="s">
        <v>584</v>
      </c>
      <c r="G219" s="491"/>
      <c r="H219" s="491"/>
      <c r="I219" s="312"/>
      <c r="J219" s="228"/>
    </row>
    <row r="220" spans="1:10" ht="54.75" customHeight="1">
      <c r="A220" s="484"/>
      <c r="B220" s="484"/>
      <c r="C220" s="486"/>
      <c r="D220" s="488"/>
      <c r="E220" s="490"/>
      <c r="F220" s="229" t="s">
        <v>687</v>
      </c>
      <c r="G220" s="229" t="s">
        <v>562</v>
      </c>
      <c r="H220" s="229" t="s">
        <v>568</v>
      </c>
      <c r="I220" s="194"/>
      <c r="J220" s="230"/>
    </row>
    <row r="221" spans="1:10" ht="15.75" customHeight="1">
      <c r="A221" s="234">
        <v>1</v>
      </c>
      <c r="B221" s="492">
        <v>2</v>
      </c>
      <c r="C221" s="493"/>
      <c r="D221" s="234">
        <v>3</v>
      </c>
      <c r="E221" s="234">
        <v>4</v>
      </c>
      <c r="F221" s="234">
        <v>5</v>
      </c>
      <c r="G221" s="234">
        <v>6</v>
      </c>
      <c r="H221" s="234">
        <v>7</v>
      </c>
      <c r="I221" s="280"/>
      <c r="J221" s="280"/>
    </row>
    <row r="222" spans="1:10" ht="15.75">
      <c r="A222" s="208"/>
      <c r="B222" s="476"/>
      <c r="C222" s="477"/>
      <c r="D222" s="208"/>
      <c r="E222" s="208"/>
      <c r="F222" s="208"/>
      <c r="G222" s="234"/>
      <c r="H222" s="234"/>
      <c r="I222" s="280"/>
      <c r="J222" s="194"/>
    </row>
    <row r="223" spans="1:10" ht="15.75">
      <c r="A223" s="208"/>
      <c r="B223" s="476"/>
      <c r="C223" s="477"/>
      <c r="D223" s="208"/>
      <c r="E223" s="208"/>
      <c r="F223" s="208"/>
      <c r="G223" s="208"/>
      <c r="H223" s="234"/>
      <c r="I223" s="280"/>
      <c r="J223" s="194"/>
    </row>
    <row r="224" spans="1:10" ht="15.75">
      <c r="A224" s="478" t="s">
        <v>576</v>
      </c>
      <c r="B224" s="479"/>
      <c r="C224" s="480"/>
      <c r="D224" s="202"/>
      <c r="E224" s="202" t="s">
        <v>567</v>
      </c>
      <c r="F224" s="202"/>
      <c r="G224" s="208"/>
      <c r="H224" s="208"/>
      <c r="I224" s="194"/>
      <c r="J224" s="194"/>
    </row>
    <row r="225" spans="1:11" ht="135" customHeight="1">
      <c r="A225" s="500" t="s">
        <v>697</v>
      </c>
      <c r="B225" s="500"/>
      <c r="C225" s="500"/>
      <c r="D225" s="500"/>
      <c r="E225" s="500"/>
      <c r="F225" s="500"/>
      <c r="G225" s="500"/>
      <c r="H225" s="500"/>
      <c r="I225" s="500"/>
      <c r="J225" s="500"/>
      <c r="K225" s="500"/>
    </row>
    <row r="226" ht="15.75">
      <c r="B226" s="187"/>
    </row>
    <row r="227" spans="1:4" ht="15.75">
      <c r="A227" s="196"/>
      <c r="B227" s="196" t="s">
        <v>698</v>
      </c>
      <c r="C227" s="196"/>
      <c r="D227" s="196"/>
    </row>
    <row r="228" ht="15.75">
      <c r="B228" s="187"/>
    </row>
    <row r="229" spans="1:10" ht="25.5" customHeight="1">
      <c r="A229" s="483" t="s">
        <v>550</v>
      </c>
      <c r="B229" s="483" t="s">
        <v>571</v>
      </c>
      <c r="C229" s="485"/>
      <c r="D229" s="487" t="s">
        <v>656</v>
      </c>
      <c r="E229" s="489" t="s">
        <v>686</v>
      </c>
      <c r="F229" s="491" t="s">
        <v>584</v>
      </c>
      <c r="G229" s="491"/>
      <c r="H229" s="491"/>
      <c r="I229" s="312"/>
      <c r="J229" s="228"/>
    </row>
    <row r="230" spans="1:10" ht="54.75" customHeight="1">
      <c r="A230" s="484"/>
      <c r="B230" s="484"/>
      <c r="C230" s="486"/>
      <c r="D230" s="488"/>
      <c r="E230" s="490"/>
      <c r="F230" s="229" t="s">
        <v>687</v>
      </c>
      <c r="G230" s="229" t="s">
        <v>562</v>
      </c>
      <c r="H230" s="229" t="s">
        <v>568</v>
      </c>
      <c r="I230" s="194"/>
      <c r="J230" s="230"/>
    </row>
    <row r="231" spans="1:10" ht="15.75" customHeight="1">
      <c r="A231" s="234">
        <v>1</v>
      </c>
      <c r="B231" s="492">
        <v>2</v>
      </c>
      <c r="C231" s="493"/>
      <c r="D231" s="234">
        <v>3</v>
      </c>
      <c r="E231" s="234">
        <v>4</v>
      </c>
      <c r="F231" s="234">
        <v>5</v>
      </c>
      <c r="G231" s="234">
        <v>6</v>
      </c>
      <c r="H231" s="234">
        <v>7</v>
      </c>
      <c r="I231" s="280"/>
      <c r="J231" s="280"/>
    </row>
    <row r="232" spans="1:10" ht="15.75">
      <c r="A232" s="208"/>
      <c r="B232" s="476"/>
      <c r="C232" s="477"/>
      <c r="D232" s="208"/>
      <c r="E232" s="208"/>
      <c r="F232" s="208"/>
      <c r="G232" s="234"/>
      <c r="H232" s="234"/>
      <c r="I232" s="280"/>
      <c r="J232" s="194"/>
    </row>
    <row r="233" spans="1:10" ht="15.75">
      <c r="A233" s="208"/>
      <c r="B233" s="476"/>
      <c r="C233" s="477"/>
      <c r="D233" s="208"/>
      <c r="E233" s="208"/>
      <c r="F233" s="208"/>
      <c r="G233" s="208"/>
      <c r="H233" s="234"/>
      <c r="I233" s="280"/>
      <c r="J233" s="194"/>
    </row>
    <row r="234" spans="1:10" ht="15.75">
      <c r="A234" s="478" t="s">
        <v>576</v>
      </c>
      <c r="B234" s="479"/>
      <c r="C234" s="480"/>
      <c r="D234" s="202"/>
      <c r="E234" s="202" t="s">
        <v>567</v>
      </c>
      <c r="F234" s="202"/>
      <c r="G234" s="208"/>
      <c r="H234" s="208"/>
      <c r="I234" s="194"/>
      <c r="J234" s="194"/>
    </row>
    <row r="237" spans="1:7" s="321" customFormat="1" ht="18.75">
      <c r="A237" s="319" t="s">
        <v>699</v>
      </c>
      <c r="B237" s="319"/>
      <c r="C237" s="319"/>
      <c r="D237" s="320"/>
      <c r="E237" s="320"/>
      <c r="F237" s="320"/>
      <c r="G237" s="320"/>
    </row>
    <row r="238" spans="1:4" s="321" customFormat="1" ht="15.75">
      <c r="A238" s="322"/>
      <c r="B238" s="323"/>
      <c r="C238" s="323"/>
      <c r="D238" s="324"/>
    </row>
    <row r="239" spans="1:5" s="321" customFormat="1" ht="42" customHeight="1">
      <c r="A239" s="325" t="s">
        <v>550</v>
      </c>
      <c r="B239" s="481" t="s">
        <v>700</v>
      </c>
      <c r="C239" s="481"/>
      <c r="D239" s="326" t="s">
        <v>701</v>
      </c>
      <c r="E239" s="327"/>
    </row>
    <row r="240" spans="1:5" s="321" customFormat="1" ht="24.75" customHeight="1">
      <c r="A240" s="328">
        <v>1</v>
      </c>
      <c r="B240" s="482" t="s">
        <v>702</v>
      </c>
      <c r="C240" s="482"/>
      <c r="D240" s="329">
        <f>J21+G38+G47+G65+H87+G102+F117+F132+G149+F160+G171+F182+F193+E204+G215+G224+G234</f>
        <v>3905027.5603630003</v>
      </c>
      <c r="E240" s="327"/>
    </row>
    <row r="241" spans="1:5" s="321" customFormat="1" ht="24.75" customHeight="1">
      <c r="A241" s="328">
        <v>2</v>
      </c>
      <c r="B241" s="482" t="s">
        <v>568</v>
      </c>
      <c r="C241" s="482"/>
      <c r="D241" s="329">
        <f>J26+H38+H47+H65+I87+H102+G117+G132+H149+G160+H171+G182+G193+F204+H215+H224+H234</f>
        <v>876776.9993779999</v>
      </c>
      <c r="E241" s="330"/>
    </row>
    <row r="242" spans="1:5" s="321" customFormat="1" ht="25.5" customHeight="1">
      <c r="A242" s="472" t="s">
        <v>703</v>
      </c>
      <c r="B242" s="473"/>
      <c r="C242" s="474"/>
      <c r="D242" s="331">
        <f>SUM(D240:D241)</f>
        <v>4781804.559741</v>
      </c>
      <c r="E242" s="330"/>
    </row>
    <row r="245" spans="1:5" ht="15.75">
      <c r="A245" s="187" t="s">
        <v>704</v>
      </c>
      <c r="C245" s="187" t="s">
        <v>705</v>
      </c>
      <c r="E245" s="187" t="s">
        <v>706</v>
      </c>
    </row>
    <row r="247" spans="1:5" ht="15.75">
      <c r="A247" s="187" t="s">
        <v>13</v>
      </c>
      <c r="C247" s="187" t="s">
        <v>705</v>
      </c>
      <c r="E247" s="187" t="s">
        <v>707</v>
      </c>
    </row>
    <row r="248" spans="1:7" s="321" customFormat="1" ht="15.75">
      <c r="A248" s="332"/>
      <c r="B248" s="333"/>
      <c r="C248" s="333"/>
      <c r="D248" s="475"/>
      <c r="E248" s="475"/>
      <c r="F248" s="475"/>
      <c r="G248" s="475"/>
    </row>
  </sheetData>
  <sheetProtection/>
  <mergeCells count="176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7:B27"/>
    <mergeCell ref="A29:K29"/>
    <mergeCell ref="B30:K30"/>
    <mergeCell ref="B31:I31"/>
    <mergeCell ref="A33:A34"/>
    <mergeCell ref="B33:B34"/>
    <mergeCell ref="C33:C34"/>
    <mergeCell ref="D33:D34"/>
    <mergeCell ref="E33:E34"/>
    <mergeCell ref="F33:H33"/>
    <mergeCell ref="A38:B38"/>
    <mergeCell ref="B40:F40"/>
    <mergeCell ref="A42:A43"/>
    <mergeCell ref="B42:B43"/>
    <mergeCell ref="C42:C43"/>
    <mergeCell ref="D42:D43"/>
    <mergeCell ref="E42:E43"/>
    <mergeCell ref="F42:H42"/>
    <mergeCell ref="A47:B47"/>
    <mergeCell ref="B49:I49"/>
    <mergeCell ref="A51:A52"/>
    <mergeCell ref="B51:D52"/>
    <mergeCell ref="E51:E52"/>
    <mergeCell ref="F51:H51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A65:D65"/>
    <mergeCell ref="A67:K67"/>
    <mergeCell ref="B68:F68"/>
    <mergeCell ref="A69:K69"/>
    <mergeCell ref="A75:A76"/>
    <mergeCell ref="B75:D76"/>
    <mergeCell ref="E75:E76"/>
    <mergeCell ref="F75:F76"/>
    <mergeCell ref="G75:I75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A87:D87"/>
    <mergeCell ref="A89:K89"/>
    <mergeCell ref="A91:K91"/>
    <mergeCell ref="A97:A98"/>
    <mergeCell ref="B97:C98"/>
    <mergeCell ref="D97:D98"/>
    <mergeCell ref="E97:E98"/>
    <mergeCell ref="F97:H97"/>
    <mergeCell ref="B99:C99"/>
    <mergeCell ref="B100:C100"/>
    <mergeCell ref="B101:C101"/>
    <mergeCell ref="A102:C102"/>
    <mergeCell ref="A104:K104"/>
    <mergeCell ref="A106:K106"/>
    <mergeCell ref="A107:E107"/>
    <mergeCell ref="A112:A113"/>
    <mergeCell ref="B112:B113"/>
    <mergeCell ref="C112:C113"/>
    <mergeCell ref="D112:D113"/>
    <mergeCell ref="E112:G112"/>
    <mergeCell ref="A117:B117"/>
    <mergeCell ref="A119:K119"/>
    <mergeCell ref="A121:K121"/>
    <mergeCell ref="A127:A128"/>
    <mergeCell ref="B127:B128"/>
    <mergeCell ref="C127:C128"/>
    <mergeCell ref="D127:D128"/>
    <mergeCell ref="E127:G127"/>
    <mergeCell ref="A132:B132"/>
    <mergeCell ref="A134:K134"/>
    <mergeCell ref="A136:K136"/>
    <mergeCell ref="A144:A145"/>
    <mergeCell ref="B144:B145"/>
    <mergeCell ref="C144:C145"/>
    <mergeCell ref="D144:D145"/>
    <mergeCell ref="E144:E145"/>
    <mergeCell ref="F144:H144"/>
    <mergeCell ref="A149:B149"/>
    <mergeCell ref="A151:K151"/>
    <mergeCell ref="A155:A156"/>
    <mergeCell ref="B155:B156"/>
    <mergeCell ref="C155:C156"/>
    <mergeCell ref="D155:D156"/>
    <mergeCell ref="E155:G155"/>
    <mergeCell ref="A160:B160"/>
    <mergeCell ref="A162:K162"/>
    <mergeCell ref="A166:A167"/>
    <mergeCell ref="B166:B167"/>
    <mergeCell ref="C166:C167"/>
    <mergeCell ref="D166:D167"/>
    <mergeCell ref="E166:E167"/>
    <mergeCell ref="F166:H166"/>
    <mergeCell ref="A171:B171"/>
    <mergeCell ref="A173:K173"/>
    <mergeCell ref="A177:A178"/>
    <mergeCell ref="B177:B178"/>
    <mergeCell ref="C177:C178"/>
    <mergeCell ref="D177:D178"/>
    <mergeCell ref="E177:G177"/>
    <mergeCell ref="A182:B182"/>
    <mergeCell ref="A184:K184"/>
    <mergeCell ref="A188:A189"/>
    <mergeCell ref="B188:B189"/>
    <mergeCell ref="C188:C189"/>
    <mergeCell ref="D188:D189"/>
    <mergeCell ref="E188:G188"/>
    <mergeCell ref="A193:B193"/>
    <mergeCell ref="A195:K195"/>
    <mergeCell ref="A199:A200"/>
    <mergeCell ref="B199:B200"/>
    <mergeCell ref="C199:C200"/>
    <mergeCell ref="D199:F199"/>
    <mergeCell ref="A204:B204"/>
    <mergeCell ref="A206:K206"/>
    <mergeCell ref="A210:A211"/>
    <mergeCell ref="B210:C211"/>
    <mergeCell ref="D210:D211"/>
    <mergeCell ref="E210:E211"/>
    <mergeCell ref="F210:H210"/>
    <mergeCell ref="B212:C212"/>
    <mergeCell ref="B213:C213"/>
    <mergeCell ref="B214:C214"/>
    <mergeCell ref="A215:C215"/>
    <mergeCell ref="A219:A220"/>
    <mergeCell ref="B219:C220"/>
    <mergeCell ref="D219:D220"/>
    <mergeCell ref="E219:E220"/>
    <mergeCell ref="F219:H219"/>
    <mergeCell ref="B221:C221"/>
    <mergeCell ref="B222:C222"/>
    <mergeCell ref="B223:C223"/>
    <mergeCell ref="A224:C224"/>
    <mergeCell ref="A225:K225"/>
    <mergeCell ref="A229:A230"/>
    <mergeCell ref="B229:C230"/>
    <mergeCell ref="D229:D230"/>
    <mergeCell ref="E229:E230"/>
    <mergeCell ref="F229:H229"/>
    <mergeCell ref="B241:C241"/>
    <mergeCell ref="A242:C242"/>
    <mergeCell ref="D248:E248"/>
    <mergeCell ref="F248:G248"/>
    <mergeCell ref="B231:C231"/>
    <mergeCell ref="B232:C232"/>
    <mergeCell ref="B233:C233"/>
    <mergeCell ref="A234:C234"/>
    <mergeCell ref="B239:C239"/>
    <mergeCell ref="B240:C2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4" manualBreakCount="4">
    <brk id="30" max="255" man="1"/>
    <brk id="65" max="255" man="1"/>
    <brk id="104" max="255" man="1"/>
    <brk id="19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F254"/>
  <sheetViews>
    <sheetView tabSelected="1" view="pageBreakPreview" zoomScaleSheetLayoutView="100" zoomScalePageLayoutView="0" workbookViewId="0" topLeftCell="F227">
      <selection activeCell="H159" sqref="H159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2.8515625" style="187" customWidth="1"/>
    <col min="6" max="6" width="26.00390625" style="187" customWidth="1"/>
    <col min="7" max="7" width="20.42187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6384" width="9.140625" style="187" customWidth="1"/>
  </cols>
  <sheetData>
    <row r="1" spans="5:6" ht="15.75" customHeight="1">
      <c r="E1" s="558"/>
      <c r="F1" s="558"/>
    </row>
    <row r="2" spans="1:26" s="191" customFormat="1" ht="40.5" customHeight="1">
      <c r="A2" s="559" t="s">
        <v>544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60"/>
      <c r="C3" s="560"/>
      <c r="D3" s="560"/>
      <c r="E3" s="560"/>
      <c r="F3" s="560"/>
      <c r="G3" s="560"/>
      <c r="H3" s="560"/>
      <c r="I3" s="56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61" t="s">
        <v>545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</row>
    <row r="5" spans="2:31" ht="15.75" customHeight="1">
      <c r="B5" s="187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2:31" ht="15.75" customHeight="1">
      <c r="B6" s="187" t="s">
        <v>546</v>
      </c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2:31" ht="15.75" customHeight="1">
      <c r="B7" s="187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2:31" ht="15.75" customHeight="1">
      <c r="B8" s="187" t="s">
        <v>720</v>
      </c>
      <c r="D8" s="195" t="s">
        <v>721</v>
      </c>
      <c r="E8" s="195"/>
      <c r="F8" s="195"/>
      <c r="G8" s="195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2:31" ht="15.75" customHeight="1">
      <c r="B9" s="187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2:31" ht="15.75" customHeight="1">
      <c r="B10" s="196" t="s">
        <v>549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2:31" ht="15.75" customHeight="1">
      <c r="B11" s="187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83" ht="48" customHeight="1">
      <c r="A12" s="562" t="s">
        <v>550</v>
      </c>
      <c r="B12" s="563" t="s">
        <v>551</v>
      </c>
      <c r="C12" s="563" t="s">
        <v>552</v>
      </c>
      <c r="D12" s="566" t="s">
        <v>553</v>
      </c>
      <c r="E12" s="567"/>
      <c r="F12" s="567"/>
      <c r="G12" s="568"/>
      <c r="H12" s="548" t="s">
        <v>554</v>
      </c>
      <c r="I12" s="548" t="s">
        <v>555</v>
      </c>
      <c r="J12" s="548" t="s">
        <v>556</v>
      </c>
      <c r="K12" s="551" t="s">
        <v>557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4"/>
      <c r="BY12" s="194"/>
      <c r="BZ12" s="194"/>
      <c r="CA12" s="194"/>
      <c r="CB12" s="194"/>
      <c r="CC12" s="194"/>
      <c r="CD12" s="194"/>
      <c r="CE12" s="194"/>
    </row>
    <row r="13" spans="1:73" ht="15.75" customHeight="1">
      <c r="A13" s="562"/>
      <c r="B13" s="564"/>
      <c r="C13" s="564"/>
      <c r="D13" s="198" t="s">
        <v>36</v>
      </c>
      <c r="E13" s="552" t="s">
        <v>4</v>
      </c>
      <c r="F13" s="553"/>
      <c r="G13" s="553"/>
      <c r="H13" s="549"/>
      <c r="I13" s="549"/>
      <c r="J13" s="549"/>
      <c r="K13" s="551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</row>
    <row r="14" spans="1:31" ht="46.5" customHeight="1">
      <c r="A14" s="562"/>
      <c r="B14" s="565"/>
      <c r="C14" s="565"/>
      <c r="D14" s="200"/>
      <c r="E14" s="201" t="s">
        <v>558</v>
      </c>
      <c r="F14" s="201" t="s">
        <v>559</v>
      </c>
      <c r="G14" s="199" t="s">
        <v>560</v>
      </c>
      <c r="H14" s="550"/>
      <c r="I14" s="550"/>
      <c r="J14" s="550"/>
      <c r="K14" s="551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4"/>
      <c r="AB14" s="194"/>
      <c r="AC14" s="194"/>
      <c r="AD14" s="194"/>
      <c r="AE14" s="194"/>
    </row>
    <row r="15" spans="1:31" ht="15.75" customHeight="1">
      <c r="A15" s="202">
        <v>1</v>
      </c>
      <c r="B15" s="203">
        <v>2</v>
      </c>
      <c r="C15" s="203">
        <v>3</v>
      </c>
      <c r="D15" s="204">
        <v>4</v>
      </c>
      <c r="E15" s="205">
        <v>5</v>
      </c>
      <c r="F15" s="206">
        <v>6</v>
      </c>
      <c r="G15" s="203">
        <v>7</v>
      </c>
      <c r="H15" s="203">
        <v>8</v>
      </c>
      <c r="I15" s="203">
        <v>9</v>
      </c>
      <c r="J15" s="206">
        <v>10</v>
      </c>
      <c r="K15" s="206">
        <v>11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94"/>
      <c r="AB15" s="194"/>
      <c r="AC15" s="194"/>
      <c r="AD15" s="194"/>
      <c r="AE15" s="194"/>
    </row>
    <row r="16" spans="1:31" ht="15.75" customHeight="1">
      <c r="A16" s="208"/>
      <c r="B16" s="350" t="s">
        <v>561</v>
      </c>
      <c r="C16" s="334">
        <v>4</v>
      </c>
      <c r="D16" s="334">
        <v>1782.7</v>
      </c>
      <c r="E16" s="241"/>
      <c r="F16" s="241"/>
      <c r="G16" s="334"/>
      <c r="H16" s="334"/>
      <c r="I16" s="334">
        <v>1.15</v>
      </c>
      <c r="J16" s="241">
        <f>(C16*D16*(1+H16/100)*I16*12)</f>
        <v>98405.04000000001</v>
      </c>
      <c r="K16" s="351" t="s">
        <v>722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31" ht="15.75" customHeight="1">
      <c r="A17" s="208"/>
      <c r="B17" s="350" t="s">
        <v>563</v>
      </c>
      <c r="C17" s="334">
        <v>3</v>
      </c>
      <c r="D17" s="334">
        <f>1782.7</f>
        <v>1782.7</v>
      </c>
      <c r="E17" s="241"/>
      <c r="F17" s="241"/>
      <c r="G17" s="334"/>
      <c r="H17" s="334"/>
      <c r="I17" s="334">
        <v>1.15</v>
      </c>
      <c r="J17" s="241">
        <f>(C17*D17*(1+H17/100)*I17*12)</f>
        <v>73803.78</v>
      </c>
      <c r="K17" s="351" t="s">
        <v>722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</row>
    <row r="18" spans="1:31" ht="15.75" customHeight="1">
      <c r="A18" s="208"/>
      <c r="B18" s="350" t="s">
        <v>564</v>
      </c>
      <c r="C18" s="334">
        <v>44</v>
      </c>
      <c r="D18" s="334">
        <v>3060</v>
      </c>
      <c r="E18" s="241"/>
      <c r="F18" s="241"/>
      <c r="G18" s="334"/>
      <c r="H18" s="334"/>
      <c r="I18" s="334">
        <v>1.15</v>
      </c>
      <c r="J18" s="241">
        <f>(C18*D18*(1+H18/100)*I18*12)</f>
        <v>1858032</v>
      </c>
      <c r="K18" s="351" t="s">
        <v>722</v>
      </c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1" ht="15.75" customHeight="1">
      <c r="A19" s="208"/>
      <c r="B19" s="350" t="s">
        <v>565</v>
      </c>
      <c r="C19" s="334">
        <v>4</v>
      </c>
      <c r="D19" s="334">
        <v>1782.7</v>
      </c>
      <c r="E19" s="241"/>
      <c r="F19" s="241"/>
      <c r="G19" s="334"/>
      <c r="H19" s="334"/>
      <c r="I19" s="334">
        <v>1.15</v>
      </c>
      <c r="J19" s="241">
        <f>(C19*D19*(1+H19/100)*I19*12)</f>
        <v>98405.04000000001</v>
      </c>
      <c r="K19" s="351" t="s">
        <v>722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1" ht="15.75" customHeight="1">
      <c r="A20" s="208"/>
      <c r="B20" s="352" t="s">
        <v>566</v>
      </c>
      <c r="C20" s="353" t="s">
        <v>567</v>
      </c>
      <c r="D20" s="353"/>
      <c r="E20" s="354" t="s">
        <v>567</v>
      </c>
      <c r="F20" s="354" t="s">
        <v>567</v>
      </c>
      <c r="G20" s="353" t="s">
        <v>567</v>
      </c>
      <c r="H20" s="353" t="s">
        <v>567</v>
      </c>
      <c r="I20" s="353" t="s">
        <v>567</v>
      </c>
      <c r="J20" s="355">
        <f>SUM(J16:J19)</f>
        <v>2128645.86</v>
      </c>
      <c r="K20" s="356" t="s">
        <v>567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11" ht="15.75" customHeight="1">
      <c r="A21" s="194"/>
      <c r="B21" s="222"/>
      <c r="C21" s="223"/>
      <c r="D21" s="222"/>
      <c r="E21" s="222"/>
      <c r="F21" s="222"/>
      <c r="G21" s="222"/>
      <c r="H21" s="222"/>
      <c r="I21" s="222"/>
      <c r="J21" s="224"/>
      <c r="K21" s="225"/>
    </row>
    <row r="22" spans="1:11" ht="208.5" customHeight="1">
      <c r="A22" s="556" t="s">
        <v>569</v>
      </c>
      <c r="B22" s="556"/>
      <c r="C22" s="556"/>
      <c r="D22" s="556"/>
      <c r="E22" s="556"/>
      <c r="F22" s="556"/>
      <c r="G22" s="556"/>
      <c r="H22" s="556"/>
      <c r="I22" s="556"/>
      <c r="J22" s="556"/>
      <c r="K22" s="556"/>
    </row>
    <row r="23" spans="2:11" ht="15.75" customHeight="1">
      <c r="B23" s="557"/>
      <c r="C23" s="557"/>
      <c r="D23" s="557"/>
      <c r="E23" s="557"/>
      <c r="F23" s="557"/>
      <c r="G23" s="557"/>
      <c r="H23" s="557"/>
      <c r="I23" s="557"/>
      <c r="J23" s="557"/>
      <c r="K23" s="557"/>
    </row>
    <row r="24" spans="2:9" ht="21" customHeight="1">
      <c r="B24" s="547" t="s">
        <v>570</v>
      </c>
      <c r="C24" s="547"/>
      <c r="D24" s="547"/>
      <c r="E24" s="547"/>
      <c r="F24" s="547"/>
      <c r="G24" s="547"/>
      <c r="H24" s="547"/>
      <c r="I24" s="547"/>
    </row>
    <row r="26" spans="1:9" ht="45" customHeight="1">
      <c r="A26" s="487" t="s">
        <v>550</v>
      </c>
      <c r="B26" s="489" t="s">
        <v>571</v>
      </c>
      <c r="C26" s="489" t="s">
        <v>572</v>
      </c>
      <c r="D26" s="489" t="s">
        <v>573</v>
      </c>
      <c r="E26" s="489" t="s">
        <v>574</v>
      </c>
      <c r="F26" s="229" t="s">
        <v>723</v>
      </c>
      <c r="G26" s="357"/>
      <c r="H26" s="357"/>
      <c r="I26" s="228"/>
    </row>
    <row r="27" spans="1:9" ht="39.75" customHeight="1">
      <c r="A27" s="488"/>
      <c r="B27" s="490"/>
      <c r="C27" s="490"/>
      <c r="D27" s="490"/>
      <c r="E27" s="490"/>
      <c r="F27" s="271" t="s">
        <v>724</v>
      </c>
      <c r="G27" s="358"/>
      <c r="H27" s="357"/>
      <c r="I27" s="230"/>
    </row>
    <row r="28" spans="1:9" ht="15.75">
      <c r="A28" s="208">
        <v>1</v>
      </c>
      <c r="B28" s="231">
        <v>2</v>
      </c>
      <c r="C28" s="231">
        <v>3</v>
      </c>
      <c r="D28" s="231">
        <v>4</v>
      </c>
      <c r="E28" s="231">
        <v>5</v>
      </c>
      <c r="F28" s="231">
        <v>6</v>
      </c>
      <c r="G28" s="233"/>
      <c r="H28" s="233"/>
      <c r="I28" s="233"/>
    </row>
    <row r="29" spans="1:9" ht="15.75">
      <c r="A29" s="208"/>
      <c r="B29" s="202"/>
      <c r="C29" s="208"/>
      <c r="D29" s="208"/>
      <c r="E29" s="208"/>
      <c r="F29" s="359"/>
      <c r="G29" s="280"/>
      <c r="H29" s="280"/>
      <c r="I29" s="194"/>
    </row>
    <row r="30" spans="1:9" ht="15.75">
      <c r="A30" s="208"/>
      <c r="B30" s="202"/>
      <c r="C30" s="208"/>
      <c r="D30" s="208"/>
      <c r="E30" s="208"/>
      <c r="F30" s="360"/>
      <c r="G30" s="280"/>
      <c r="H30" s="280"/>
      <c r="I30" s="194"/>
    </row>
    <row r="31" spans="1:9" ht="15.75">
      <c r="A31" s="478" t="s">
        <v>576</v>
      </c>
      <c r="B31" s="480"/>
      <c r="C31" s="202" t="s">
        <v>567</v>
      </c>
      <c r="D31" s="202" t="s">
        <v>567</v>
      </c>
      <c r="E31" s="202" t="s">
        <v>567</v>
      </c>
      <c r="F31" s="360">
        <f>SUM(F29:F30)</f>
        <v>0</v>
      </c>
      <c r="G31" s="280"/>
      <c r="H31" s="280"/>
      <c r="I31" s="194"/>
    </row>
    <row r="33" spans="2:6" ht="15.75">
      <c r="B33" s="546" t="s">
        <v>577</v>
      </c>
      <c r="C33" s="546"/>
      <c r="D33" s="546"/>
      <c r="E33" s="546"/>
      <c r="F33" s="546"/>
    </row>
    <row r="35" spans="1:9" ht="39.75" customHeight="1">
      <c r="A35" s="487" t="s">
        <v>550</v>
      </c>
      <c r="B35" s="489" t="s">
        <v>571</v>
      </c>
      <c r="C35" s="489" t="s">
        <v>578</v>
      </c>
      <c r="D35" s="489" t="s">
        <v>579</v>
      </c>
      <c r="E35" s="489" t="s">
        <v>580</v>
      </c>
      <c r="F35" s="229" t="s">
        <v>723</v>
      </c>
      <c r="G35" s="357"/>
      <c r="H35" s="357"/>
      <c r="I35" s="228"/>
    </row>
    <row r="36" spans="1:9" ht="39" customHeight="1">
      <c r="A36" s="488"/>
      <c r="B36" s="490"/>
      <c r="C36" s="490"/>
      <c r="D36" s="490"/>
      <c r="E36" s="490"/>
      <c r="F36" s="271" t="s">
        <v>724</v>
      </c>
      <c r="G36" s="358"/>
      <c r="H36" s="357"/>
      <c r="I36" s="230"/>
    </row>
    <row r="37" spans="1:9" ht="15.75">
      <c r="A37" s="208">
        <v>1</v>
      </c>
      <c r="B37" s="231">
        <v>2</v>
      </c>
      <c r="C37" s="231">
        <v>3</v>
      </c>
      <c r="D37" s="231">
        <v>4</v>
      </c>
      <c r="E37" s="231">
        <v>5</v>
      </c>
      <c r="F37" s="231">
        <v>6</v>
      </c>
      <c r="G37" s="233"/>
      <c r="H37" s="233"/>
      <c r="I37" s="233"/>
    </row>
    <row r="38" spans="1:9" ht="15.75">
      <c r="A38" s="208"/>
      <c r="B38" s="202"/>
      <c r="C38" s="208"/>
      <c r="D38" s="208"/>
      <c r="E38" s="208"/>
      <c r="F38" s="359"/>
      <c r="G38" s="280"/>
      <c r="H38" s="280"/>
      <c r="I38" s="194"/>
    </row>
    <row r="39" spans="1:9" ht="15.75">
      <c r="A39" s="208"/>
      <c r="B39" s="202"/>
      <c r="C39" s="208"/>
      <c r="D39" s="208"/>
      <c r="E39" s="208"/>
      <c r="F39" s="360"/>
      <c r="G39" s="280"/>
      <c r="H39" s="280"/>
      <c r="I39" s="194"/>
    </row>
    <row r="40" spans="1:9" ht="15.75">
      <c r="A40" s="478" t="s">
        <v>576</v>
      </c>
      <c r="B40" s="480"/>
      <c r="C40" s="202" t="s">
        <v>567</v>
      </c>
      <c r="D40" s="202" t="s">
        <v>567</v>
      </c>
      <c r="E40" s="202" t="s">
        <v>567</v>
      </c>
      <c r="F40" s="360">
        <f>SUM(F38:F39)</f>
        <v>0</v>
      </c>
      <c r="G40" s="280"/>
      <c r="H40" s="280"/>
      <c r="I40" s="194"/>
    </row>
    <row r="42" spans="2:9" ht="33" customHeight="1">
      <c r="B42" s="545" t="s">
        <v>581</v>
      </c>
      <c r="C42" s="545"/>
      <c r="D42" s="545"/>
      <c r="E42" s="545"/>
      <c r="F42" s="545"/>
      <c r="G42" s="545"/>
      <c r="H42" s="545"/>
      <c r="I42" s="545"/>
    </row>
    <row r="44" spans="1:9" ht="31.5" customHeight="1">
      <c r="A44" s="483" t="s">
        <v>550</v>
      </c>
      <c r="B44" s="491" t="s">
        <v>582</v>
      </c>
      <c r="C44" s="491"/>
      <c r="D44" s="491"/>
      <c r="E44" s="489" t="s">
        <v>583</v>
      </c>
      <c r="F44" s="229" t="s">
        <v>584</v>
      </c>
      <c r="G44" s="357"/>
      <c r="H44" s="357"/>
      <c r="I44" s="236"/>
    </row>
    <row r="45" spans="1:9" ht="31.5" customHeight="1">
      <c r="A45" s="484"/>
      <c r="B45" s="491"/>
      <c r="C45" s="491"/>
      <c r="D45" s="491"/>
      <c r="E45" s="490"/>
      <c r="F45" s="271" t="s">
        <v>724</v>
      </c>
      <c r="G45" s="358"/>
      <c r="H45" s="357"/>
      <c r="I45" s="230"/>
    </row>
    <row r="46" spans="1:9" ht="17.25" customHeight="1">
      <c r="A46" s="237">
        <v>1</v>
      </c>
      <c r="B46" s="544">
        <v>2</v>
      </c>
      <c r="C46" s="544"/>
      <c r="D46" s="544"/>
      <c r="E46" s="202">
        <v>3</v>
      </c>
      <c r="F46" s="202">
        <v>4</v>
      </c>
      <c r="G46" s="239"/>
      <c r="H46" s="239"/>
      <c r="I46" s="239"/>
    </row>
    <row r="47" spans="1:9" s="189" customFormat="1" ht="32.25" customHeight="1">
      <c r="A47" s="240">
        <v>1</v>
      </c>
      <c r="B47" s="541" t="s">
        <v>586</v>
      </c>
      <c r="C47" s="542"/>
      <c r="D47" s="543"/>
      <c r="E47" s="234" t="s">
        <v>567</v>
      </c>
      <c r="F47" s="359"/>
      <c r="G47" s="280"/>
      <c r="H47" s="280"/>
      <c r="I47" s="194"/>
    </row>
    <row r="48" spans="1:9" ht="34.5" customHeight="1">
      <c r="A48" s="240" t="s">
        <v>587</v>
      </c>
      <c r="B48" s="541" t="s">
        <v>588</v>
      </c>
      <c r="C48" s="542"/>
      <c r="D48" s="543"/>
      <c r="E48" s="241">
        <f>J20</f>
        <v>2128645.86</v>
      </c>
      <c r="F48" s="241">
        <f>ROUND(E48*22%,2)-3.65</f>
        <v>468298.44</v>
      </c>
      <c r="G48" s="194"/>
      <c r="H48" s="194"/>
      <c r="I48" s="194"/>
    </row>
    <row r="49" spans="1:9" ht="16.5" customHeight="1">
      <c r="A49" s="240" t="s">
        <v>589</v>
      </c>
      <c r="B49" s="541" t="s">
        <v>590</v>
      </c>
      <c r="C49" s="542"/>
      <c r="D49" s="543"/>
      <c r="E49" s="242">
        <v>0</v>
      </c>
      <c r="F49" s="241">
        <f aca="true" t="shared" si="0" ref="F49:F56">E49*22%</f>
        <v>0</v>
      </c>
      <c r="G49" s="194"/>
      <c r="H49" s="194"/>
      <c r="I49" s="194"/>
    </row>
    <row r="50" spans="1:9" ht="34.5" customHeight="1">
      <c r="A50" s="240" t="s">
        <v>591</v>
      </c>
      <c r="B50" s="541" t="s">
        <v>592</v>
      </c>
      <c r="C50" s="542"/>
      <c r="D50" s="543"/>
      <c r="E50" s="242">
        <v>0</v>
      </c>
      <c r="F50" s="241">
        <f t="shared" si="0"/>
        <v>0</v>
      </c>
      <c r="G50" s="194"/>
      <c r="H50" s="194"/>
      <c r="I50" s="194"/>
    </row>
    <row r="51" spans="1:9" ht="33" customHeight="1">
      <c r="A51" s="240" t="s">
        <v>593</v>
      </c>
      <c r="B51" s="541" t="s">
        <v>594</v>
      </c>
      <c r="C51" s="542"/>
      <c r="D51" s="543"/>
      <c r="E51" s="242" t="s">
        <v>567</v>
      </c>
      <c r="F51" s="241">
        <v>0</v>
      </c>
      <c r="G51" s="194"/>
      <c r="H51" s="194"/>
      <c r="I51" s="194"/>
    </row>
    <row r="52" spans="1:9" ht="41.25" customHeight="1">
      <c r="A52" s="240" t="s">
        <v>595</v>
      </c>
      <c r="B52" s="538" t="s">
        <v>596</v>
      </c>
      <c r="C52" s="539"/>
      <c r="D52" s="540"/>
      <c r="E52" s="241">
        <f>E48</f>
        <v>2128645.86</v>
      </c>
      <c r="F52" s="241">
        <f>ROUND(E52*2.9%,2)</f>
        <v>61730.73</v>
      </c>
      <c r="G52" s="194"/>
      <c r="H52" s="194"/>
      <c r="I52" s="194"/>
    </row>
    <row r="53" spans="1:9" ht="34.5" customHeight="1">
      <c r="A53" s="240" t="s">
        <v>597</v>
      </c>
      <c r="B53" s="541" t="s">
        <v>598</v>
      </c>
      <c r="C53" s="542"/>
      <c r="D53" s="543"/>
      <c r="E53" s="242">
        <v>0</v>
      </c>
      <c r="F53" s="241">
        <f t="shared" si="0"/>
        <v>0</v>
      </c>
      <c r="G53" s="194"/>
      <c r="H53" s="194"/>
      <c r="I53" s="194"/>
    </row>
    <row r="54" spans="1:9" ht="33.75" customHeight="1">
      <c r="A54" s="240" t="s">
        <v>599</v>
      </c>
      <c r="B54" s="541" t="s">
        <v>600</v>
      </c>
      <c r="C54" s="542"/>
      <c r="D54" s="543"/>
      <c r="E54" s="241">
        <f>E52</f>
        <v>2128645.86</v>
      </c>
      <c r="F54" s="241">
        <f>ROUND(E54*0.2%,2)</f>
        <v>4257.29</v>
      </c>
      <c r="G54" s="194"/>
      <c r="H54" s="194"/>
      <c r="I54" s="194"/>
    </row>
    <row r="55" spans="1:9" ht="33.75" customHeight="1">
      <c r="A55" s="240" t="s">
        <v>601</v>
      </c>
      <c r="B55" s="541" t="s">
        <v>602</v>
      </c>
      <c r="C55" s="542"/>
      <c r="D55" s="543"/>
      <c r="E55" s="242">
        <v>0</v>
      </c>
      <c r="F55" s="241">
        <f t="shared" si="0"/>
        <v>0</v>
      </c>
      <c r="G55" s="194"/>
      <c r="H55" s="194"/>
      <c r="I55" s="194"/>
    </row>
    <row r="56" spans="1:9" ht="39.75" customHeight="1">
      <c r="A56" s="240" t="s">
        <v>603</v>
      </c>
      <c r="B56" s="541" t="s">
        <v>602</v>
      </c>
      <c r="C56" s="542"/>
      <c r="D56" s="543"/>
      <c r="E56" s="242">
        <v>0</v>
      </c>
      <c r="F56" s="241">
        <f t="shared" si="0"/>
        <v>0</v>
      </c>
      <c r="G56" s="194"/>
      <c r="H56" s="194"/>
      <c r="I56" s="194"/>
    </row>
    <row r="57" spans="1:9" ht="30" customHeight="1">
      <c r="A57" s="240" t="s">
        <v>604</v>
      </c>
      <c r="B57" s="541" t="s">
        <v>605</v>
      </c>
      <c r="C57" s="542"/>
      <c r="D57" s="543"/>
      <c r="E57" s="241">
        <f>E54</f>
        <v>2128645.86</v>
      </c>
      <c r="F57" s="241">
        <f>ROUND(E57*5.1%,2)</f>
        <v>108560.94</v>
      </c>
      <c r="G57" s="194"/>
      <c r="H57" s="194"/>
      <c r="I57" s="194"/>
    </row>
    <row r="58" spans="1:9" ht="30.75" customHeight="1">
      <c r="A58" s="531" t="s">
        <v>576</v>
      </c>
      <c r="B58" s="531"/>
      <c r="C58" s="531"/>
      <c r="D58" s="531"/>
      <c r="E58" s="242" t="s">
        <v>567</v>
      </c>
      <c r="F58" s="243">
        <f>SUM(F48:F57)</f>
        <v>642847.4000000001</v>
      </c>
      <c r="G58" s="361"/>
      <c r="H58" s="361"/>
      <c r="I58" s="194"/>
    </row>
    <row r="59" spans="2:6" ht="16.5" customHeight="1">
      <c r="B59" s="245"/>
      <c r="C59" s="245"/>
      <c r="D59" s="245"/>
      <c r="E59" s="239"/>
      <c r="F59" s="194"/>
    </row>
    <row r="60" spans="1:11" ht="99" customHeight="1">
      <c r="A60" s="532" t="s">
        <v>606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</row>
    <row r="61" spans="2:6" ht="21" customHeight="1">
      <c r="B61" s="533"/>
      <c r="C61" s="533"/>
      <c r="D61" s="533"/>
      <c r="E61" s="533"/>
      <c r="F61" s="533"/>
    </row>
    <row r="62" spans="1:11" s="247" customFormat="1" ht="27" customHeight="1">
      <c r="A62" s="522" t="s">
        <v>607</v>
      </c>
      <c r="B62" s="522"/>
      <c r="C62" s="522"/>
      <c r="D62" s="522"/>
      <c r="E62" s="522"/>
      <c r="F62" s="522"/>
      <c r="G62" s="522"/>
      <c r="H62" s="522"/>
      <c r="I62" s="522"/>
      <c r="J62" s="522"/>
      <c r="K62" s="522"/>
    </row>
    <row r="63" spans="1:11" s="247" customFormat="1" ht="16.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</row>
    <row r="64" spans="2:31" ht="15.75" customHeight="1">
      <c r="B64" s="187" t="s">
        <v>608</v>
      </c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</row>
    <row r="65" spans="2:31" ht="15.75" customHeight="1">
      <c r="B65" s="187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</row>
    <row r="66" spans="2:31" ht="15.75" customHeight="1">
      <c r="B66" s="187" t="s">
        <v>720</v>
      </c>
      <c r="D66" s="195" t="s">
        <v>721</v>
      </c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</row>
    <row r="67" spans="2:31" ht="15.75" customHeight="1">
      <c r="B67" s="187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</row>
    <row r="68" spans="1:9" s="247" customFormat="1" ht="33.75" customHeight="1">
      <c r="A68" s="483" t="s">
        <v>550</v>
      </c>
      <c r="B68" s="534" t="s">
        <v>1</v>
      </c>
      <c r="C68" s="534"/>
      <c r="D68" s="534"/>
      <c r="E68" s="534" t="s">
        <v>610</v>
      </c>
      <c r="F68" s="534" t="s">
        <v>611</v>
      </c>
      <c r="G68" s="229" t="s">
        <v>584</v>
      </c>
      <c r="H68" s="357"/>
      <c r="I68" s="357"/>
    </row>
    <row r="69" spans="1:49" s="247" customFormat="1" ht="51" customHeight="1">
      <c r="A69" s="484"/>
      <c r="B69" s="534"/>
      <c r="C69" s="534"/>
      <c r="D69" s="534"/>
      <c r="E69" s="534"/>
      <c r="F69" s="534"/>
      <c r="G69" s="229" t="s">
        <v>725</v>
      </c>
      <c r="H69" s="357"/>
      <c r="I69" s="357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</row>
    <row r="70" spans="1:49" s="247" customFormat="1" ht="15.75">
      <c r="A70" s="250">
        <v>1</v>
      </c>
      <c r="B70" s="526">
        <v>2</v>
      </c>
      <c r="C70" s="526"/>
      <c r="D70" s="526"/>
      <c r="E70" s="250">
        <v>3</v>
      </c>
      <c r="F70" s="251">
        <v>4</v>
      </c>
      <c r="G70" s="252">
        <v>4</v>
      </c>
      <c r="H70" s="362"/>
      <c r="I70" s="362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</row>
    <row r="71" spans="1:49" s="247" customFormat="1" ht="32.25" customHeight="1">
      <c r="A71" s="254" t="s">
        <v>613</v>
      </c>
      <c r="B71" s="527"/>
      <c r="C71" s="527"/>
      <c r="D71" s="527"/>
      <c r="E71" s="255"/>
      <c r="F71" s="256"/>
      <c r="G71" s="359"/>
      <c r="H71" s="280"/>
      <c r="I71" s="280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</row>
    <row r="72" spans="1:49" s="247" customFormat="1" ht="30.75" customHeight="1">
      <c r="A72" s="254" t="s">
        <v>593</v>
      </c>
      <c r="B72" s="527"/>
      <c r="C72" s="527"/>
      <c r="D72" s="527"/>
      <c r="E72" s="255"/>
      <c r="F72" s="256"/>
      <c r="G72" s="359"/>
      <c r="H72" s="280"/>
      <c r="I72" s="280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</row>
    <row r="73" spans="1:49" s="247" customFormat="1" ht="15.75">
      <c r="A73" s="528" t="s">
        <v>566</v>
      </c>
      <c r="B73" s="529"/>
      <c r="C73" s="529"/>
      <c r="D73" s="530"/>
      <c r="E73" s="255" t="s">
        <v>567</v>
      </c>
      <c r="F73" s="257" t="s">
        <v>567</v>
      </c>
      <c r="G73" s="267">
        <f>SUM(G71:G72)</f>
        <v>0</v>
      </c>
      <c r="H73" s="280"/>
      <c r="I73" s="280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</row>
    <row r="74" spans="6:49" s="247" customFormat="1" ht="15.75"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</row>
    <row r="75" spans="1:49" s="247" customFormat="1" ht="69" customHeight="1">
      <c r="A75" s="500" t="s">
        <v>614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</row>
    <row r="76" s="247" customFormat="1" ht="15.75"/>
    <row r="77" spans="1:11" ht="15.75" customHeight="1">
      <c r="A77" s="522" t="s">
        <v>615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</row>
    <row r="78" spans="1:11" ht="15.75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</row>
    <row r="79" spans="2:31" ht="15.75" customHeight="1">
      <c r="B79" s="187" t="s">
        <v>726</v>
      </c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</row>
    <row r="80" spans="2:31" ht="15.75" customHeight="1">
      <c r="B80" s="187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</row>
    <row r="81" spans="2:31" ht="15.75" customHeight="1">
      <c r="B81" s="187" t="s">
        <v>720</v>
      </c>
      <c r="D81" s="195" t="s">
        <v>721</v>
      </c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</row>
    <row r="82" spans="1:4" ht="15.75" customHeight="1">
      <c r="A82" s="196"/>
      <c r="B82" s="196"/>
      <c r="C82" s="196"/>
      <c r="D82" s="196"/>
    </row>
    <row r="83" spans="1:8" ht="33.75" customHeight="1">
      <c r="A83" s="483" t="s">
        <v>550</v>
      </c>
      <c r="B83" s="491" t="s">
        <v>617</v>
      </c>
      <c r="C83" s="491"/>
      <c r="D83" s="489" t="s">
        <v>618</v>
      </c>
      <c r="E83" s="489" t="s">
        <v>619</v>
      </c>
      <c r="F83" s="576" t="s">
        <v>584</v>
      </c>
      <c r="G83" s="577"/>
      <c r="H83" s="363"/>
    </row>
    <row r="84" spans="1:8" ht="69" customHeight="1">
      <c r="A84" s="484"/>
      <c r="B84" s="491"/>
      <c r="C84" s="491"/>
      <c r="D84" s="490"/>
      <c r="E84" s="490"/>
      <c r="F84" s="229" t="s">
        <v>727</v>
      </c>
      <c r="G84" s="229" t="s">
        <v>728</v>
      </c>
      <c r="H84" s="357"/>
    </row>
    <row r="85" spans="1:8" ht="15.75">
      <c r="A85" s="261">
        <v>1</v>
      </c>
      <c r="B85" s="519">
        <v>2</v>
      </c>
      <c r="C85" s="519"/>
      <c r="D85" s="261">
        <v>3</v>
      </c>
      <c r="E85" s="261">
        <v>4</v>
      </c>
      <c r="F85" s="261">
        <v>5</v>
      </c>
      <c r="G85" s="261">
        <v>6</v>
      </c>
      <c r="H85" s="364"/>
    </row>
    <row r="86" spans="1:8" ht="15.75">
      <c r="A86" s="202">
        <v>1</v>
      </c>
      <c r="B86" s="520" t="s">
        <v>621</v>
      </c>
      <c r="C86" s="520"/>
      <c r="D86" s="263">
        <v>195145.33</v>
      </c>
      <c r="E86" s="263">
        <v>1.5</v>
      </c>
      <c r="F86" s="234"/>
      <c r="G86" s="365">
        <f>ROUND(D86*E86,0.2)</f>
        <v>292718</v>
      </c>
      <c r="H86" s="366"/>
    </row>
    <row r="87" spans="1:8" ht="15.75">
      <c r="A87" s="202">
        <v>2</v>
      </c>
      <c r="B87" s="520" t="s">
        <v>622</v>
      </c>
      <c r="C87" s="520"/>
      <c r="D87" s="265"/>
      <c r="E87" s="265"/>
      <c r="F87" s="359"/>
      <c r="G87" s="359"/>
      <c r="H87" s="280"/>
    </row>
    <row r="88" spans="1:8" ht="33.75" customHeight="1">
      <c r="A88" s="202">
        <v>3</v>
      </c>
      <c r="B88" s="521" t="s">
        <v>623</v>
      </c>
      <c r="C88" s="521"/>
      <c r="D88" s="208"/>
      <c r="E88" s="208"/>
      <c r="F88" s="360"/>
      <c r="G88" s="359"/>
      <c r="H88" s="280"/>
    </row>
    <row r="89" spans="1:8" ht="15.75">
      <c r="A89" s="202">
        <v>4</v>
      </c>
      <c r="B89" s="520" t="s">
        <v>729</v>
      </c>
      <c r="C89" s="520"/>
      <c r="D89" s="208"/>
      <c r="E89" s="266"/>
      <c r="F89" s="360"/>
      <c r="G89" s="359">
        <v>3000</v>
      </c>
      <c r="H89" s="280"/>
    </row>
    <row r="90" spans="1:8" ht="15.75">
      <c r="A90" s="202">
        <v>5</v>
      </c>
      <c r="B90" s="574" t="s">
        <v>730</v>
      </c>
      <c r="C90" s="575"/>
      <c r="D90" s="208"/>
      <c r="E90" s="266"/>
      <c r="F90" s="360"/>
      <c r="G90" s="359">
        <v>20000</v>
      </c>
      <c r="H90" s="280"/>
    </row>
    <row r="91" spans="1:8" ht="15.75">
      <c r="A91" s="202"/>
      <c r="B91" s="520"/>
      <c r="C91" s="520"/>
      <c r="D91" s="208"/>
      <c r="E91" s="266"/>
      <c r="F91" s="360"/>
      <c r="G91" s="359"/>
      <c r="H91" s="280"/>
    </row>
    <row r="92" spans="1:8" ht="15.75">
      <c r="A92" s="503" t="s">
        <v>566</v>
      </c>
      <c r="B92" s="517"/>
      <c r="C92" s="504"/>
      <c r="D92" s="277"/>
      <c r="E92" s="268" t="s">
        <v>567</v>
      </c>
      <c r="F92" s="360"/>
      <c r="G92" s="367">
        <f>SUM(G86:G91)</f>
        <v>315718</v>
      </c>
      <c r="H92" s="280"/>
    </row>
    <row r="93" spans="1:7" ht="15.75">
      <c r="A93" s="194"/>
      <c r="B93" s="194"/>
      <c r="C93" s="194"/>
      <c r="D93" s="194"/>
      <c r="E93" s="194"/>
      <c r="F93" s="194"/>
      <c r="G93" s="194"/>
    </row>
    <row r="94" spans="1:11" ht="49.5" customHeight="1">
      <c r="A94" s="505" t="s">
        <v>624</v>
      </c>
      <c r="B94" s="505"/>
      <c r="C94" s="505"/>
      <c r="D94" s="505"/>
      <c r="E94" s="505"/>
      <c r="F94" s="505"/>
      <c r="G94" s="505"/>
      <c r="H94" s="505"/>
      <c r="I94" s="505"/>
      <c r="J94" s="505"/>
      <c r="K94" s="505"/>
    </row>
    <row r="95" spans="1:7" ht="15.75">
      <c r="A95" s="194"/>
      <c r="B95" s="194"/>
      <c r="C95" s="194"/>
      <c r="D95" s="194"/>
      <c r="E95" s="194"/>
      <c r="F95" s="194"/>
      <c r="G95" s="194"/>
    </row>
    <row r="96" spans="1:11" ht="15.75">
      <c r="A96" s="514" t="s">
        <v>625</v>
      </c>
      <c r="B96" s="514"/>
      <c r="C96" s="514"/>
      <c r="D96" s="514"/>
      <c r="E96" s="514"/>
      <c r="F96" s="514"/>
      <c r="G96" s="514"/>
      <c r="H96" s="514"/>
      <c r="I96" s="514"/>
      <c r="J96" s="514"/>
      <c r="K96" s="514"/>
    </row>
    <row r="97" spans="1:7" ht="17.25" customHeight="1">
      <c r="A97" s="518" t="s">
        <v>626</v>
      </c>
      <c r="B97" s="518"/>
      <c r="C97" s="518"/>
      <c r="D97" s="518"/>
      <c r="E97" s="518"/>
      <c r="F97" s="194"/>
      <c r="G97" s="194"/>
    </row>
    <row r="98" spans="2:31" ht="15.75" customHeight="1">
      <c r="B98" s="187" t="s">
        <v>719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</row>
    <row r="99" spans="2:31" ht="15.75" customHeight="1">
      <c r="B99" s="187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</row>
    <row r="100" spans="2:31" ht="15.75" customHeight="1">
      <c r="B100" s="187" t="s">
        <v>720</v>
      </c>
      <c r="D100" s="187" t="s">
        <v>721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</row>
    <row r="101" spans="1:7" ht="17.25" customHeight="1">
      <c r="A101" s="270"/>
      <c r="B101" s="270"/>
      <c r="C101" s="270"/>
      <c r="D101" s="270"/>
      <c r="E101" s="270"/>
      <c r="F101" s="194"/>
      <c r="G101" s="194"/>
    </row>
    <row r="102" spans="1:8" ht="60.75" customHeight="1">
      <c r="A102" s="483" t="s">
        <v>550</v>
      </c>
      <c r="B102" s="508" t="s">
        <v>1</v>
      </c>
      <c r="C102" s="508" t="s">
        <v>610</v>
      </c>
      <c r="D102" s="508" t="s">
        <v>611</v>
      </c>
      <c r="E102" s="238" t="s">
        <v>731</v>
      </c>
      <c r="F102" s="239"/>
      <c r="G102" s="239"/>
      <c r="H102" s="259"/>
    </row>
    <row r="103" spans="1:50" ht="46.5" customHeight="1">
      <c r="A103" s="484"/>
      <c r="B103" s="508"/>
      <c r="C103" s="508"/>
      <c r="D103" s="508"/>
      <c r="E103" s="272" t="s">
        <v>732</v>
      </c>
      <c r="F103" s="368"/>
      <c r="G103" s="368"/>
      <c r="H103" s="274"/>
      <c r="I103" s="275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194"/>
    </row>
    <row r="104" spans="1:50" ht="14.25" customHeight="1">
      <c r="A104" s="231">
        <v>1</v>
      </c>
      <c r="B104" s="276">
        <v>2</v>
      </c>
      <c r="C104" s="276">
        <v>3</v>
      </c>
      <c r="D104" s="276">
        <v>4</v>
      </c>
      <c r="E104" s="276">
        <v>5</v>
      </c>
      <c r="F104" s="233"/>
      <c r="G104" s="233"/>
      <c r="H104" s="233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194"/>
    </row>
    <row r="105" spans="1:50" ht="15.75">
      <c r="A105" s="202"/>
      <c r="B105" s="272"/>
      <c r="C105" s="277"/>
      <c r="D105" s="277"/>
      <c r="E105" s="267"/>
      <c r="F105" s="278"/>
      <c r="G105" s="278"/>
      <c r="H105" s="278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194"/>
    </row>
    <row r="106" spans="1:50" ht="15.75">
      <c r="A106" s="202"/>
      <c r="B106" s="272"/>
      <c r="C106" s="277"/>
      <c r="D106" s="277"/>
      <c r="E106" s="267"/>
      <c r="F106" s="278"/>
      <c r="G106" s="278"/>
      <c r="H106" s="278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194"/>
    </row>
    <row r="107" spans="1:50" ht="15.75">
      <c r="A107" s="503" t="s">
        <v>566</v>
      </c>
      <c r="B107" s="504"/>
      <c r="C107" s="277" t="s">
        <v>567</v>
      </c>
      <c r="D107" s="277" t="s">
        <v>567</v>
      </c>
      <c r="E107" s="267">
        <f>SUM(E105:E106)</f>
        <v>0</v>
      </c>
      <c r="F107" s="278"/>
      <c r="G107" s="278"/>
      <c r="H107" s="278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194"/>
    </row>
    <row r="108" spans="1:50" ht="15.75">
      <c r="A108" s="279"/>
      <c r="B108" s="279"/>
      <c r="C108" s="278"/>
      <c r="D108" s="278"/>
      <c r="E108" s="278"/>
      <c r="F108" s="278"/>
      <c r="G108" s="278"/>
      <c r="H108" s="278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194"/>
    </row>
    <row r="109" spans="1:50" ht="36" customHeight="1">
      <c r="A109" s="515" t="s">
        <v>628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194"/>
    </row>
    <row r="110" spans="2:11" ht="15.75">
      <c r="B110" s="187"/>
      <c r="I110" s="194"/>
      <c r="J110" s="280"/>
      <c r="K110" s="280"/>
    </row>
    <row r="111" spans="1:12" ht="15.75" customHeight="1">
      <c r="A111" s="516" t="s">
        <v>629</v>
      </c>
      <c r="B111" s="516"/>
      <c r="C111" s="516"/>
      <c r="D111" s="516"/>
      <c r="E111" s="516"/>
      <c r="F111" s="516"/>
      <c r="G111" s="516"/>
      <c r="H111" s="516"/>
      <c r="I111" s="516"/>
      <c r="J111" s="516"/>
      <c r="K111" s="516"/>
      <c r="L111" s="282"/>
    </row>
    <row r="112" spans="1:12" ht="15.75" customHeight="1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2"/>
    </row>
    <row r="113" spans="2:31" ht="15.75" customHeight="1">
      <c r="B113" s="187" t="s">
        <v>719</v>
      </c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</row>
    <row r="114" spans="2:31" ht="15.75" customHeight="1">
      <c r="B114" s="187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</row>
    <row r="115" spans="2:31" ht="15.75" customHeight="1">
      <c r="B115" s="187" t="s">
        <v>720</v>
      </c>
      <c r="D115" s="187" t="s">
        <v>721</v>
      </c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</row>
    <row r="116" spans="1:12" ht="15.75" customHeight="1">
      <c r="A116" s="226"/>
      <c r="B116" s="226"/>
      <c r="C116" s="226"/>
      <c r="D116" s="226"/>
      <c r="E116" s="226"/>
      <c r="F116" s="226"/>
      <c r="G116" s="282"/>
      <c r="H116" s="282"/>
      <c r="I116" s="282"/>
      <c r="J116" s="282"/>
      <c r="K116" s="282"/>
      <c r="L116" s="282"/>
    </row>
    <row r="117" spans="1:8" ht="57.75" customHeight="1">
      <c r="A117" s="483" t="s">
        <v>550</v>
      </c>
      <c r="B117" s="508" t="s">
        <v>1</v>
      </c>
      <c r="C117" s="508" t="s">
        <v>610</v>
      </c>
      <c r="D117" s="508" t="s">
        <v>611</v>
      </c>
      <c r="E117" s="238" t="s">
        <v>733</v>
      </c>
      <c r="F117" s="239"/>
      <c r="G117" s="239"/>
      <c r="H117" s="259"/>
    </row>
    <row r="118" spans="1:50" ht="44.25" customHeight="1">
      <c r="A118" s="484"/>
      <c r="B118" s="508"/>
      <c r="C118" s="508"/>
      <c r="D118" s="508"/>
      <c r="E118" s="272" t="s">
        <v>734</v>
      </c>
      <c r="F118" s="368"/>
      <c r="G118" s="368"/>
      <c r="H118" s="274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194"/>
    </row>
    <row r="119" spans="1:50" ht="12" customHeight="1">
      <c r="A119" s="283">
        <v>1</v>
      </c>
      <c r="B119" s="284">
        <v>2</v>
      </c>
      <c r="C119" s="284">
        <v>3</v>
      </c>
      <c r="D119" s="284">
        <v>4</v>
      </c>
      <c r="E119" s="276">
        <v>5</v>
      </c>
      <c r="F119" s="233"/>
      <c r="G119" s="233"/>
      <c r="H119" s="233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194"/>
    </row>
    <row r="120" spans="1:50" ht="15.75">
      <c r="A120" s="202"/>
      <c r="B120" s="198"/>
      <c r="C120" s="204"/>
      <c r="D120" s="204"/>
      <c r="E120" s="267"/>
      <c r="F120" s="278"/>
      <c r="G120" s="369"/>
      <c r="H120" s="278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194"/>
    </row>
    <row r="121" spans="1:50" ht="15.75">
      <c r="A121" s="202"/>
      <c r="B121" s="198"/>
      <c r="C121" s="204"/>
      <c r="D121" s="204"/>
      <c r="E121" s="267"/>
      <c r="F121" s="278"/>
      <c r="G121" s="369"/>
      <c r="H121" s="278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194"/>
    </row>
    <row r="122" spans="1:50" ht="15.75">
      <c r="A122" s="503" t="s">
        <v>566</v>
      </c>
      <c r="B122" s="504"/>
      <c r="C122" s="204" t="s">
        <v>567</v>
      </c>
      <c r="D122" s="204" t="s">
        <v>567</v>
      </c>
      <c r="E122" s="267">
        <f>SUM(E120:E121)</f>
        <v>0</v>
      </c>
      <c r="F122" s="278"/>
      <c r="G122" s="369"/>
      <c r="H122" s="278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194"/>
    </row>
    <row r="123" spans="1:50" ht="15.75">
      <c r="A123" s="239"/>
      <c r="B123" s="194"/>
      <c r="C123" s="239"/>
      <c r="D123" s="239"/>
      <c r="E123" s="239"/>
      <c r="F123" s="239"/>
      <c r="G123" s="194"/>
      <c r="H123" s="280"/>
      <c r="I123" s="280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</row>
    <row r="124" spans="1:50" ht="39" customHeight="1">
      <c r="A124" s="505" t="s">
        <v>630</v>
      </c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</row>
    <row r="125" spans="1:50" ht="15.75">
      <c r="A125" s="239"/>
      <c r="B125" s="194"/>
      <c r="C125" s="239"/>
      <c r="D125" s="239"/>
      <c r="E125" s="239"/>
      <c r="F125" s="239"/>
      <c r="G125" s="194"/>
      <c r="H125" s="280"/>
      <c r="I125" s="280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</row>
    <row r="126" spans="1:11" ht="15.75">
      <c r="A126" s="514" t="s">
        <v>631</v>
      </c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</row>
    <row r="127" spans="1:10" ht="15.75">
      <c r="A127" s="239"/>
      <c r="B127" s="194"/>
      <c r="C127" s="239"/>
      <c r="D127" s="239"/>
      <c r="E127" s="239"/>
      <c r="F127" s="239"/>
      <c r="G127" s="194"/>
      <c r="H127" s="280"/>
      <c r="I127" s="280"/>
      <c r="J127" s="194"/>
    </row>
    <row r="128" spans="2:31" ht="15.75" customHeight="1">
      <c r="B128" s="187" t="s">
        <v>632</v>
      </c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</row>
    <row r="129" spans="2:31" ht="15.75" customHeight="1">
      <c r="B129" s="187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</row>
    <row r="130" spans="2:31" ht="15.75" customHeight="1">
      <c r="B130" s="187" t="s">
        <v>720</v>
      </c>
      <c r="D130" s="195" t="s">
        <v>721</v>
      </c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</row>
    <row r="131" spans="1:10" ht="15.75">
      <c r="A131" s="239"/>
      <c r="B131" s="194"/>
      <c r="C131" s="239"/>
      <c r="D131" s="239"/>
      <c r="E131" s="239"/>
      <c r="F131" s="239"/>
      <c r="G131" s="194"/>
      <c r="H131" s="280"/>
      <c r="I131" s="280"/>
      <c r="J131" s="194"/>
    </row>
    <row r="132" spans="1:10" ht="15.75">
      <c r="A132" s="239"/>
      <c r="B132" s="225" t="s">
        <v>633</v>
      </c>
      <c r="C132" s="239"/>
      <c r="D132" s="239"/>
      <c r="E132" s="239"/>
      <c r="F132" s="239"/>
      <c r="G132" s="194"/>
      <c r="H132" s="280"/>
      <c r="I132" s="280"/>
      <c r="J132" s="194"/>
    </row>
    <row r="133" spans="1:10" ht="15.75">
      <c r="A133" s="285"/>
      <c r="B133" s="285"/>
      <c r="C133" s="285"/>
      <c r="D133" s="285"/>
      <c r="E133" s="239"/>
      <c r="F133" s="239"/>
      <c r="G133" s="194"/>
      <c r="H133" s="280"/>
      <c r="I133" s="280"/>
      <c r="J133" s="194"/>
    </row>
    <row r="134" spans="1:36" ht="41.25" customHeight="1">
      <c r="A134" s="483" t="s">
        <v>550</v>
      </c>
      <c r="B134" s="508" t="s">
        <v>571</v>
      </c>
      <c r="C134" s="508" t="s">
        <v>634</v>
      </c>
      <c r="D134" s="508" t="s">
        <v>635</v>
      </c>
      <c r="E134" s="508" t="s">
        <v>636</v>
      </c>
      <c r="F134" s="238" t="s">
        <v>735</v>
      </c>
      <c r="G134" s="239"/>
      <c r="H134" s="239"/>
      <c r="I134" s="259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</row>
    <row r="135" spans="1:36" ht="49.5" customHeight="1">
      <c r="A135" s="484"/>
      <c r="B135" s="508"/>
      <c r="C135" s="508"/>
      <c r="D135" s="508"/>
      <c r="E135" s="508"/>
      <c r="F135" s="248" t="s">
        <v>736</v>
      </c>
      <c r="G135" s="357"/>
      <c r="H135" s="357"/>
      <c r="I135" s="274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  <c r="AI135" s="286"/>
      <c r="AJ135" s="194"/>
    </row>
    <row r="136" spans="1:36" ht="15.75">
      <c r="A136" s="203">
        <v>1</v>
      </c>
      <c r="B136" s="203">
        <v>2</v>
      </c>
      <c r="C136" s="203">
        <v>3</v>
      </c>
      <c r="D136" s="203">
        <v>4</v>
      </c>
      <c r="E136" s="203">
        <v>5</v>
      </c>
      <c r="F136" s="203">
        <v>6</v>
      </c>
      <c r="G136" s="370"/>
      <c r="H136" s="233"/>
      <c r="I136" s="233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194"/>
    </row>
    <row r="137" spans="1:36" ht="39">
      <c r="A137" s="240" t="s">
        <v>613</v>
      </c>
      <c r="B137" s="288" t="s">
        <v>638</v>
      </c>
      <c r="C137" s="289">
        <v>1</v>
      </c>
      <c r="D137" s="290">
        <v>1</v>
      </c>
      <c r="E137" s="291">
        <v>3500</v>
      </c>
      <c r="F137" s="371">
        <f>D137*E137*C137</f>
        <v>3500</v>
      </c>
      <c r="G137" s="372"/>
      <c r="H137" s="373"/>
      <c r="I137" s="278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  <c r="AI137" s="286"/>
      <c r="AJ137" s="194"/>
    </row>
    <row r="138" spans="1:36" ht="15.75">
      <c r="A138" s="240"/>
      <c r="B138" s="199"/>
      <c r="C138" s="217"/>
      <c r="D138" s="217"/>
      <c r="E138" s="217"/>
      <c r="F138" s="374"/>
      <c r="G138" s="375"/>
      <c r="H138" s="278"/>
      <c r="I138" s="278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194"/>
    </row>
    <row r="139" spans="1:36" ht="15.75">
      <c r="A139" s="570" t="s">
        <v>640</v>
      </c>
      <c r="B139" s="572"/>
      <c r="C139" s="376" t="s">
        <v>567</v>
      </c>
      <c r="D139" s="376" t="s">
        <v>567</v>
      </c>
      <c r="E139" s="376" t="s">
        <v>567</v>
      </c>
      <c r="F139" s="377">
        <f>SUM(F137:F138)</f>
        <v>3500</v>
      </c>
      <c r="G139" s="375"/>
      <c r="H139" s="278"/>
      <c r="I139" s="278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  <c r="AH139" s="296"/>
      <c r="AI139" s="296"/>
      <c r="AJ139" s="194"/>
    </row>
    <row r="140" spans="1:10" ht="15.75">
      <c r="A140" s="239"/>
      <c r="B140" s="194"/>
      <c r="C140" s="239"/>
      <c r="D140" s="239"/>
      <c r="E140" s="239"/>
      <c r="F140" s="239"/>
      <c r="G140" s="194"/>
      <c r="H140" s="280"/>
      <c r="I140" s="280"/>
      <c r="J140" s="194"/>
    </row>
    <row r="141" spans="1:11" ht="151.5" customHeight="1">
      <c r="A141" s="505" t="s">
        <v>641</v>
      </c>
      <c r="B141" s="505"/>
      <c r="C141" s="505"/>
      <c r="D141" s="505"/>
      <c r="E141" s="505"/>
      <c r="F141" s="505"/>
      <c r="G141" s="505"/>
      <c r="H141" s="505"/>
      <c r="I141" s="505"/>
      <c r="J141" s="505"/>
      <c r="K141" s="505"/>
    </row>
    <row r="142" spans="1:10" ht="15.75">
      <c r="A142" s="239"/>
      <c r="B142" s="194"/>
      <c r="C142" s="239"/>
      <c r="D142" s="239"/>
      <c r="E142" s="239"/>
      <c r="F142" s="239"/>
      <c r="G142" s="194"/>
      <c r="H142" s="280"/>
      <c r="I142" s="280"/>
      <c r="J142" s="194"/>
    </row>
    <row r="143" spans="1:10" ht="15.75">
      <c r="A143" s="285"/>
      <c r="B143" s="285" t="s">
        <v>642</v>
      </c>
      <c r="C143" s="285"/>
      <c r="D143" s="285"/>
      <c r="E143" s="285"/>
      <c r="F143" s="239"/>
      <c r="G143" s="194"/>
      <c r="H143" s="280"/>
      <c r="I143" s="280"/>
      <c r="J143" s="194"/>
    </row>
    <row r="144" spans="1:10" ht="15.75">
      <c r="A144" s="239"/>
      <c r="B144" s="194"/>
      <c r="C144" s="239"/>
      <c r="D144" s="239"/>
      <c r="E144" s="239"/>
      <c r="F144" s="239"/>
      <c r="G144" s="194"/>
      <c r="H144" s="280"/>
      <c r="I144" s="280"/>
      <c r="J144" s="194"/>
    </row>
    <row r="145" spans="1:10" ht="41.25" customHeight="1">
      <c r="A145" s="483" t="s">
        <v>550</v>
      </c>
      <c r="B145" s="508" t="s">
        <v>571</v>
      </c>
      <c r="C145" s="508" t="s">
        <v>643</v>
      </c>
      <c r="D145" s="508" t="s">
        <v>644</v>
      </c>
      <c r="E145" s="238" t="s">
        <v>737</v>
      </c>
      <c r="F145" s="239"/>
      <c r="G145" s="239"/>
      <c r="H145" s="259"/>
      <c r="I145" s="280"/>
      <c r="J145" s="194"/>
    </row>
    <row r="146" spans="1:10" ht="31.5">
      <c r="A146" s="484"/>
      <c r="B146" s="508"/>
      <c r="C146" s="508"/>
      <c r="D146" s="508"/>
      <c r="E146" s="272" t="s">
        <v>738</v>
      </c>
      <c r="F146" s="368"/>
      <c r="G146" s="368"/>
      <c r="H146" s="274"/>
      <c r="I146" s="280"/>
      <c r="J146" s="194"/>
    </row>
    <row r="147" spans="1:10" ht="15.75">
      <c r="A147" s="283">
        <v>1</v>
      </c>
      <c r="B147" s="284">
        <v>2</v>
      </c>
      <c r="C147" s="284">
        <v>3</v>
      </c>
      <c r="D147" s="284">
        <v>4</v>
      </c>
      <c r="E147" s="276">
        <v>5</v>
      </c>
      <c r="F147" s="233"/>
      <c r="G147" s="233"/>
      <c r="H147" s="233"/>
      <c r="I147" s="280"/>
      <c r="J147" s="194"/>
    </row>
    <row r="148" spans="1:10" ht="26.25">
      <c r="A148" s="202">
        <v>1</v>
      </c>
      <c r="B148" s="198" t="s">
        <v>739</v>
      </c>
      <c r="C148" s="204">
        <v>1</v>
      </c>
      <c r="D148" s="204">
        <v>11000</v>
      </c>
      <c r="E148" s="267">
        <f>C148*D148</f>
        <v>11000</v>
      </c>
      <c r="F148" s="278"/>
      <c r="G148" s="278"/>
      <c r="H148" s="278"/>
      <c r="I148" s="280"/>
      <c r="J148" s="194"/>
    </row>
    <row r="149" spans="1:10" ht="15.75">
      <c r="A149" s="202"/>
      <c r="B149" s="198"/>
      <c r="C149" s="204"/>
      <c r="D149" s="204"/>
      <c r="E149" s="267"/>
      <c r="F149" s="278"/>
      <c r="G149" s="278"/>
      <c r="H149" s="278"/>
      <c r="I149" s="280"/>
      <c r="J149" s="194"/>
    </row>
    <row r="150" spans="1:10" ht="15.75">
      <c r="A150" s="506" t="s">
        <v>566</v>
      </c>
      <c r="B150" s="507"/>
      <c r="C150" s="308" t="s">
        <v>567</v>
      </c>
      <c r="D150" s="308" t="s">
        <v>567</v>
      </c>
      <c r="E150" s="378">
        <f>SUM(E148:E149)</f>
        <v>11000</v>
      </c>
      <c r="F150" s="278"/>
      <c r="G150" s="278"/>
      <c r="H150" s="278"/>
      <c r="I150" s="280"/>
      <c r="J150" s="194"/>
    </row>
    <row r="151" spans="1:10" ht="15.75">
      <c r="A151" s="239"/>
      <c r="B151" s="194"/>
      <c r="C151" s="239"/>
      <c r="D151" s="239"/>
      <c r="E151" s="239"/>
      <c r="F151" s="239"/>
      <c r="G151" s="194"/>
      <c r="H151" s="280"/>
      <c r="I151" s="280"/>
      <c r="J151" s="194"/>
    </row>
    <row r="152" spans="1:11" ht="36" customHeight="1">
      <c r="A152" s="511" t="s">
        <v>646</v>
      </c>
      <c r="B152" s="511"/>
      <c r="C152" s="511"/>
      <c r="D152" s="511"/>
      <c r="E152" s="511"/>
      <c r="F152" s="511"/>
      <c r="G152" s="511"/>
      <c r="H152" s="511"/>
      <c r="I152" s="511"/>
      <c r="J152" s="511"/>
      <c r="K152" s="511"/>
    </row>
    <row r="153" spans="1:10" ht="15.75">
      <c r="A153" s="239"/>
      <c r="B153" s="194"/>
      <c r="C153" s="239"/>
      <c r="D153" s="239"/>
      <c r="E153" s="239"/>
      <c r="F153" s="239"/>
      <c r="G153" s="194"/>
      <c r="H153" s="280"/>
      <c r="I153" s="280"/>
      <c r="J153" s="194"/>
    </row>
    <row r="154" spans="1:10" ht="15.75">
      <c r="A154" s="285"/>
      <c r="B154" s="285" t="s">
        <v>647</v>
      </c>
      <c r="C154" s="285"/>
      <c r="D154" s="285"/>
      <c r="E154" s="285"/>
      <c r="F154" s="285"/>
      <c r="G154" s="194"/>
      <c r="H154" s="280"/>
      <c r="I154" s="280"/>
      <c r="J154" s="194"/>
    </row>
    <row r="155" spans="1:10" ht="15.75">
      <c r="A155" s="239"/>
      <c r="B155" s="194"/>
      <c r="C155" s="239"/>
      <c r="D155" s="239"/>
      <c r="E155" s="239"/>
      <c r="F155" s="239"/>
      <c r="G155" s="194"/>
      <c r="H155" s="280"/>
      <c r="I155" s="280"/>
      <c r="J155" s="194"/>
    </row>
    <row r="156" spans="1:10" ht="45" customHeight="1">
      <c r="A156" s="483" t="s">
        <v>550</v>
      </c>
      <c r="B156" s="508" t="s">
        <v>1</v>
      </c>
      <c r="C156" s="508" t="s">
        <v>648</v>
      </c>
      <c r="D156" s="508" t="s">
        <v>649</v>
      </c>
      <c r="E156" s="508" t="s">
        <v>650</v>
      </c>
      <c r="F156" s="238" t="s">
        <v>735</v>
      </c>
      <c r="G156" s="239"/>
      <c r="H156" s="239"/>
      <c r="I156" s="259"/>
      <c r="J156" s="194"/>
    </row>
    <row r="157" spans="1:10" ht="31.5">
      <c r="A157" s="484"/>
      <c r="B157" s="508"/>
      <c r="C157" s="508"/>
      <c r="D157" s="508"/>
      <c r="E157" s="508"/>
      <c r="F157" s="271" t="s">
        <v>738</v>
      </c>
      <c r="G157" s="368"/>
      <c r="H157" s="368"/>
      <c r="I157" s="274"/>
      <c r="J157" s="194"/>
    </row>
    <row r="158" spans="1:10" ht="15.75">
      <c r="A158" s="203">
        <v>1</v>
      </c>
      <c r="B158" s="203">
        <v>2</v>
      </c>
      <c r="C158" s="203">
        <v>3</v>
      </c>
      <c r="D158" s="203">
        <v>4</v>
      </c>
      <c r="E158" s="203">
        <v>5</v>
      </c>
      <c r="F158" s="206">
        <v>6</v>
      </c>
      <c r="G158" s="233"/>
      <c r="H158" s="233"/>
      <c r="I158" s="233"/>
      <c r="J158" s="194"/>
    </row>
    <row r="159" spans="1:10" ht="15.75">
      <c r="A159" s="297" t="s">
        <v>613</v>
      </c>
      <c r="B159" s="298" t="s">
        <v>651</v>
      </c>
      <c r="C159" s="299">
        <f>5</f>
        <v>5</v>
      </c>
      <c r="D159" s="299">
        <v>1860.27</v>
      </c>
      <c r="E159" s="299">
        <v>0</v>
      </c>
      <c r="F159" s="300">
        <f>ROUND(C159*D159,2)</f>
        <v>9301.35</v>
      </c>
      <c r="G159" s="379"/>
      <c r="H159" s="369"/>
      <c r="I159" s="278"/>
      <c r="J159" s="194"/>
    </row>
    <row r="160" spans="1:10" ht="15.75">
      <c r="A160" s="297" t="s">
        <v>593</v>
      </c>
      <c r="B160" s="301" t="s">
        <v>652</v>
      </c>
      <c r="C160" s="302">
        <f>22684</f>
        <v>22684</v>
      </c>
      <c r="D160" s="302">
        <v>6.32</v>
      </c>
      <c r="E160" s="299">
        <v>0</v>
      </c>
      <c r="F160" s="300">
        <f>ROUND(C160*D160,2)</f>
        <v>143362.88</v>
      </c>
      <c r="G160" s="369"/>
      <c r="H160" s="369"/>
      <c r="I160" s="278"/>
      <c r="J160" s="194"/>
    </row>
    <row r="161" spans="1:10" ht="31.5">
      <c r="A161" s="297" t="s">
        <v>604</v>
      </c>
      <c r="B161" s="301" t="s">
        <v>653</v>
      </c>
      <c r="C161" s="302">
        <v>1038</v>
      </c>
      <c r="D161" s="302">
        <v>40.98</v>
      </c>
      <c r="E161" s="299">
        <v>0</v>
      </c>
      <c r="F161" s="300">
        <f>ROUND(C161*D161,2)</f>
        <v>42537.24</v>
      </c>
      <c r="G161" s="369"/>
      <c r="H161" s="369"/>
      <c r="I161" s="278"/>
      <c r="J161" s="194"/>
    </row>
    <row r="162" spans="1:10" s="196" customFormat="1" ht="15.75">
      <c r="A162" s="570" t="s">
        <v>640</v>
      </c>
      <c r="B162" s="572"/>
      <c r="C162" s="376" t="s">
        <v>567</v>
      </c>
      <c r="D162" s="376" t="s">
        <v>567</v>
      </c>
      <c r="E162" s="376" t="s">
        <v>567</v>
      </c>
      <c r="F162" s="380">
        <f>SUM(F159:F161)</f>
        <v>195201.47</v>
      </c>
      <c r="G162" s="192"/>
      <c r="H162" s="192"/>
      <c r="I162" s="192"/>
      <c r="J162" s="225"/>
    </row>
    <row r="163" spans="1:10" ht="15.75">
      <c r="A163" s="239"/>
      <c r="B163" s="194"/>
      <c r="C163" s="239"/>
      <c r="D163" s="239"/>
      <c r="E163" s="239"/>
      <c r="F163" s="239"/>
      <c r="G163" s="194"/>
      <c r="H163" s="280"/>
      <c r="I163" s="280"/>
      <c r="J163" s="194"/>
    </row>
    <row r="164" spans="1:11" ht="66.75" customHeight="1">
      <c r="A164" s="505" t="s">
        <v>654</v>
      </c>
      <c r="B164" s="511"/>
      <c r="C164" s="511"/>
      <c r="D164" s="511"/>
      <c r="E164" s="511"/>
      <c r="F164" s="511"/>
      <c r="G164" s="511"/>
      <c r="H164" s="511"/>
      <c r="I164" s="511"/>
      <c r="J164" s="511"/>
      <c r="K164" s="511"/>
    </row>
    <row r="165" spans="1:10" ht="15.75">
      <c r="A165" s="239"/>
      <c r="B165" s="194"/>
      <c r="C165" s="239"/>
      <c r="D165" s="239"/>
      <c r="E165" s="239"/>
      <c r="F165" s="239"/>
      <c r="G165" s="194"/>
      <c r="H165" s="280"/>
      <c r="I165" s="280"/>
      <c r="J165" s="194"/>
    </row>
    <row r="166" spans="1:10" ht="15.75">
      <c r="A166" s="285"/>
      <c r="B166" s="285" t="s">
        <v>655</v>
      </c>
      <c r="C166" s="285"/>
      <c r="D166" s="285"/>
      <c r="E166" s="285"/>
      <c r="F166" s="239"/>
      <c r="G166" s="194"/>
      <c r="H166" s="280"/>
      <c r="I166" s="280"/>
      <c r="J166" s="194"/>
    </row>
    <row r="167" spans="1:10" ht="15.75">
      <c r="A167" s="239"/>
      <c r="B167" s="194"/>
      <c r="C167" s="239"/>
      <c r="D167" s="239"/>
      <c r="E167" s="239"/>
      <c r="F167" s="239"/>
      <c r="G167" s="194"/>
      <c r="H167" s="280"/>
      <c r="I167" s="280"/>
      <c r="J167" s="194"/>
    </row>
    <row r="168" spans="1:10" ht="22.5" customHeight="1">
      <c r="A168" s="483" t="s">
        <v>550</v>
      </c>
      <c r="B168" s="508" t="s">
        <v>1</v>
      </c>
      <c r="C168" s="508" t="s">
        <v>656</v>
      </c>
      <c r="D168" s="508" t="s">
        <v>657</v>
      </c>
      <c r="E168" s="202" t="s">
        <v>584</v>
      </c>
      <c r="F168" s="239"/>
      <c r="G168" s="239"/>
      <c r="H168" s="259"/>
      <c r="I168" s="280"/>
      <c r="J168" s="194"/>
    </row>
    <row r="169" spans="1:10" ht="78.75">
      <c r="A169" s="484"/>
      <c r="B169" s="508"/>
      <c r="C169" s="508"/>
      <c r="D169" s="508"/>
      <c r="E169" s="272" t="s">
        <v>740</v>
      </c>
      <c r="F169" s="368"/>
      <c r="G169" s="368"/>
      <c r="H169" s="274"/>
      <c r="I169" s="280"/>
      <c r="J169" s="194"/>
    </row>
    <row r="170" spans="1:10" ht="15.75">
      <c r="A170" s="283">
        <v>1</v>
      </c>
      <c r="B170" s="284">
        <v>2</v>
      </c>
      <c r="C170" s="284">
        <v>3</v>
      </c>
      <c r="D170" s="284">
        <v>4</v>
      </c>
      <c r="E170" s="276">
        <v>5</v>
      </c>
      <c r="F170" s="233"/>
      <c r="G170" s="233"/>
      <c r="H170" s="233"/>
      <c r="I170" s="280"/>
      <c r="J170" s="194"/>
    </row>
    <row r="171" spans="1:10" ht="15.75">
      <c r="A171" s="202"/>
      <c r="B171" s="198"/>
      <c r="C171" s="204"/>
      <c r="D171" s="204"/>
      <c r="E171" s="267"/>
      <c r="F171" s="278"/>
      <c r="G171" s="278"/>
      <c r="H171" s="278"/>
      <c r="I171" s="280"/>
      <c r="J171" s="194"/>
    </row>
    <row r="172" spans="1:10" ht="15.75">
      <c r="A172" s="202"/>
      <c r="B172" s="198"/>
      <c r="C172" s="204"/>
      <c r="D172" s="204"/>
      <c r="E172" s="267"/>
      <c r="F172" s="278"/>
      <c r="G172" s="278"/>
      <c r="H172" s="278"/>
      <c r="I172" s="280"/>
      <c r="J172" s="194"/>
    </row>
    <row r="173" spans="1:10" ht="15.75">
      <c r="A173" s="503" t="s">
        <v>566</v>
      </c>
      <c r="B173" s="504"/>
      <c r="C173" s="204" t="s">
        <v>567</v>
      </c>
      <c r="D173" s="204" t="s">
        <v>567</v>
      </c>
      <c r="E173" s="267">
        <f>SUM(E171:E172)</f>
        <v>0</v>
      </c>
      <c r="F173" s="278"/>
      <c r="G173" s="278"/>
      <c r="H173" s="278"/>
      <c r="I173" s="280"/>
      <c r="J173" s="194"/>
    </row>
    <row r="174" spans="1:10" ht="15.75">
      <c r="A174" s="239"/>
      <c r="B174" s="194"/>
      <c r="C174" s="239"/>
      <c r="D174" s="239"/>
      <c r="E174" s="239"/>
      <c r="F174" s="239"/>
      <c r="G174" s="194"/>
      <c r="H174" s="280"/>
      <c r="I174" s="280"/>
      <c r="J174" s="194"/>
    </row>
    <row r="175" spans="1:11" ht="48" customHeight="1">
      <c r="A175" s="510" t="s">
        <v>659</v>
      </c>
      <c r="B175" s="510"/>
      <c r="C175" s="510"/>
      <c r="D175" s="510"/>
      <c r="E175" s="510"/>
      <c r="F175" s="510"/>
      <c r="G175" s="510"/>
      <c r="H175" s="510"/>
      <c r="I175" s="510"/>
      <c r="J175" s="510"/>
      <c r="K175" s="510"/>
    </row>
    <row r="176" spans="1:10" ht="15.75">
      <c r="A176" s="239"/>
      <c r="B176" s="194"/>
      <c r="C176" s="239"/>
      <c r="D176" s="239"/>
      <c r="E176" s="239"/>
      <c r="F176" s="239"/>
      <c r="G176" s="194"/>
      <c r="H176" s="280"/>
      <c r="I176" s="280"/>
      <c r="J176" s="194"/>
    </row>
    <row r="177" spans="1:10" ht="15.75">
      <c r="A177" s="285"/>
      <c r="B177" s="285" t="s">
        <v>660</v>
      </c>
      <c r="C177" s="285"/>
      <c r="D177" s="285"/>
      <c r="E177" s="285"/>
      <c r="F177" s="285"/>
      <c r="G177" s="194"/>
      <c r="H177" s="280"/>
      <c r="I177" s="280"/>
      <c r="J177" s="194"/>
    </row>
    <row r="178" spans="1:10" ht="15.75">
      <c r="A178" s="239"/>
      <c r="B178" s="194"/>
      <c r="C178" s="239"/>
      <c r="D178" s="239"/>
      <c r="E178" s="239"/>
      <c r="F178" s="239"/>
      <c r="G178" s="194"/>
      <c r="H178" s="280"/>
      <c r="I178" s="280"/>
      <c r="J178" s="194"/>
    </row>
    <row r="179" spans="1:10" ht="50.25" customHeight="1">
      <c r="A179" s="483" t="s">
        <v>550</v>
      </c>
      <c r="B179" s="508" t="s">
        <v>571</v>
      </c>
      <c r="C179" s="508" t="s">
        <v>661</v>
      </c>
      <c r="D179" s="508" t="s">
        <v>662</v>
      </c>
      <c r="E179" s="238" t="s">
        <v>741</v>
      </c>
      <c r="F179" s="239"/>
      <c r="G179" s="239"/>
      <c r="H179" s="259"/>
      <c r="I179" s="280"/>
      <c r="J179" s="194"/>
    </row>
    <row r="180" spans="1:10" ht="31.5">
      <c r="A180" s="484"/>
      <c r="B180" s="508"/>
      <c r="C180" s="508"/>
      <c r="D180" s="508"/>
      <c r="E180" s="272" t="s">
        <v>742</v>
      </c>
      <c r="F180" s="368"/>
      <c r="G180" s="368"/>
      <c r="H180" s="274"/>
      <c r="I180" s="280"/>
      <c r="J180" s="194"/>
    </row>
    <row r="181" spans="1:10" ht="15.75">
      <c r="A181" s="283">
        <v>1</v>
      </c>
      <c r="B181" s="284">
        <v>2</v>
      </c>
      <c r="C181" s="284">
        <v>3</v>
      </c>
      <c r="D181" s="284">
        <v>4</v>
      </c>
      <c r="E181" s="276">
        <v>5</v>
      </c>
      <c r="F181" s="233"/>
      <c r="G181" s="233"/>
      <c r="H181" s="233"/>
      <c r="I181" s="280"/>
      <c r="J181" s="194"/>
    </row>
    <row r="182" spans="1:10" ht="15.75">
      <c r="A182" s="283">
        <v>1</v>
      </c>
      <c r="B182" s="305" t="s">
        <v>664</v>
      </c>
      <c r="C182" s="284" t="s">
        <v>665</v>
      </c>
      <c r="D182" s="306">
        <v>9</v>
      </c>
      <c r="E182" s="381">
        <f>19414.63-3016-590.9</f>
        <v>15807.730000000001</v>
      </c>
      <c r="F182" s="233"/>
      <c r="G182" s="233"/>
      <c r="H182" s="233"/>
      <c r="I182" s="280"/>
      <c r="J182" s="194"/>
    </row>
    <row r="183" spans="1:10" ht="15.75">
      <c r="A183" s="283">
        <v>2</v>
      </c>
      <c r="B183" s="305" t="s">
        <v>666</v>
      </c>
      <c r="C183" s="284" t="s">
        <v>665</v>
      </c>
      <c r="D183" s="306">
        <v>9</v>
      </c>
      <c r="E183" s="381">
        <v>3600</v>
      </c>
      <c r="F183" s="233"/>
      <c r="G183" s="233"/>
      <c r="H183" s="233"/>
      <c r="I183" s="280"/>
      <c r="J183" s="194"/>
    </row>
    <row r="184" spans="1:10" ht="31.5">
      <c r="A184" s="283">
        <v>3</v>
      </c>
      <c r="B184" s="305" t="s">
        <v>667</v>
      </c>
      <c r="C184" s="284" t="s">
        <v>665</v>
      </c>
      <c r="D184" s="306">
        <v>9</v>
      </c>
      <c r="E184" s="382">
        <v>18000</v>
      </c>
      <c r="F184" s="233"/>
      <c r="G184" s="233"/>
      <c r="H184" s="233"/>
      <c r="I184" s="280"/>
      <c r="J184" s="194"/>
    </row>
    <row r="185" spans="1:10" ht="15.75">
      <c r="A185" s="283">
        <v>4</v>
      </c>
      <c r="B185" s="305" t="s">
        <v>668</v>
      </c>
      <c r="C185" s="284" t="s">
        <v>665</v>
      </c>
      <c r="D185" s="306">
        <v>9</v>
      </c>
      <c r="E185" s="381">
        <v>85000</v>
      </c>
      <c r="F185" s="233"/>
      <c r="G185" s="233"/>
      <c r="H185" s="233"/>
      <c r="I185" s="280"/>
      <c r="J185" s="194"/>
    </row>
    <row r="186" spans="1:10" ht="31.5">
      <c r="A186" s="283">
        <v>5</v>
      </c>
      <c r="B186" s="305" t="s">
        <v>669</v>
      </c>
      <c r="C186" s="284" t="s">
        <v>665</v>
      </c>
      <c r="D186" s="306">
        <v>9</v>
      </c>
      <c r="E186" s="381">
        <v>448000</v>
      </c>
      <c r="F186" s="233"/>
      <c r="G186" s="233"/>
      <c r="H186" s="233"/>
      <c r="I186" s="280"/>
      <c r="J186" s="194"/>
    </row>
    <row r="187" spans="1:10" ht="15.75">
      <c r="A187" s="283">
        <v>6</v>
      </c>
      <c r="B187" s="305" t="s">
        <v>670</v>
      </c>
      <c r="C187" s="284" t="s">
        <v>665</v>
      </c>
      <c r="D187" s="306">
        <v>1</v>
      </c>
      <c r="E187" s="381">
        <v>15000</v>
      </c>
      <c r="F187" s="233"/>
      <c r="G187" s="233"/>
      <c r="H187" s="233"/>
      <c r="I187" s="280"/>
      <c r="J187" s="194"/>
    </row>
    <row r="188" spans="1:10" ht="15.75">
      <c r="A188" s="283">
        <v>7</v>
      </c>
      <c r="B188" s="305" t="s">
        <v>671</v>
      </c>
      <c r="C188" s="284" t="s">
        <v>665</v>
      </c>
      <c r="D188" s="306">
        <v>1</v>
      </c>
      <c r="E188" s="381">
        <v>15000</v>
      </c>
      <c r="F188" s="233"/>
      <c r="G188" s="233"/>
      <c r="H188" s="233"/>
      <c r="I188" s="280"/>
      <c r="J188" s="194"/>
    </row>
    <row r="189" spans="1:10" ht="31.5">
      <c r="A189" s="283">
        <v>8</v>
      </c>
      <c r="B189" s="305" t="s">
        <v>674</v>
      </c>
      <c r="C189" s="284" t="s">
        <v>665</v>
      </c>
      <c r="D189" s="306">
        <v>4</v>
      </c>
      <c r="E189" s="382">
        <f>1800000-564000-20000</f>
        <v>1216000</v>
      </c>
      <c r="F189" s="233"/>
      <c r="G189" s="233"/>
      <c r="H189" s="233"/>
      <c r="I189" s="280"/>
      <c r="J189" s="194"/>
    </row>
    <row r="190" spans="1:10" ht="31.5">
      <c r="A190" s="283">
        <v>9</v>
      </c>
      <c r="B190" s="305" t="s">
        <v>743</v>
      </c>
      <c r="C190" s="284" t="s">
        <v>665</v>
      </c>
      <c r="D190" s="306">
        <v>1</v>
      </c>
      <c r="E190" s="382">
        <v>80000</v>
      </c>
      <c r="F190" s="233"/>
      <c r="G190" s="233"/>
      <c r="H190" s="233"/>
      <c r="I190" s="280"/>
      <c r="J190" s="194"/>
    </row>
    <row r="191" spans="1:10" ht="31.5">
      <c r="A191" s="283">
        <v>10</v>
      </c>
      <c r="B191" s="305" t="s">
        <v>675</v>
      </c>
      <c r="C191" s="284" t="s">
        <v>665</v>
      </c>
      <c r="D191" s="306">
        <v>4</v>
      </c>
      <c r="E191" s="382">
        <v>120000</v>
      </c>
      <c r="F191" s="233"/>
      <c r="G191" s="233"/>
      <c r="H191" s="233"/>
      <c r="I191" s="280"/>
      <c r="J191" s="194"/>
    </row>
    <row r="192" spans="1:10" ht="15.75">
      <c r="A192" s="503" t="s">
        <v>566</v>
      </c>
      <c r="B192" s="504"/>
      <c r="C192" s="204" t="s">
        <v>567</v>
      </c>
      <c r="D192" s="204" t="s">
        <v>567</v>
      </c>
      <c r="E192" s="378">
        <f>SUM(E182:E191)</f>
        <v>2016407.73</v>
      </c>
      <c r="F192" s="278"/>
      <c r="G192" s="278"/>
      <c r="H192" s="278"/>
      <c r="I192" s="280"/>
      <c r="J192" s="194"/>
    </row>
    <row r="193" spans="1:10" ht="15.75">
      <c r="A193" s="239"/>
      <c r="B193" s="194"/>
      <c r="C193" s="239"/>
      <c r="D193" s="239"/>
      <c r="E193" s="239"/>
      <c r="F193" s="239"/>
      <c r="G193" s="194"/>
      <c r="H193" s="280"/>
      <c r="I193" s="280"/>
      <c r="J193" s="194"/>
    </row>
    <row r="194" spans="1:11" ht="53.25" customHeight="1">
      <c r="A194" s="505" t="s">
        <v>676</v>
      </c>
      <c r="B194" s="505"/>
      <c r="C194" s="505"/>
      <c r="D194" s="505"/>
      <c r="E194" s="505"/>
      <c r="F194" s="505"/>
      <c r="G194" s="505"/>
      <c r="H194" s="505"/>
      <c r="I194" s="505"/>
      <c r="J194" s="505"/>
      <c r="K194" s="505"/>
    </row>
    <row r="195" spans="1:10" ht="15.75">
      <c r="A195" s="239"/>
      <c r="B195" s="194"/>
      <c r="C195" s="239"/>
      <c r="D195" s="239"/>
      <c r="E195" s="239"/>
      <c r="F195" s="239"/>
      <c r="G195" s="194"/>
      <c r="H195" s="280"/>
      <c r="I195" s="280"/>
      <c r="J195" s="194"/>
    </row>
    <row r="196" spans="1:10" ht="15.75">
      <c r="A196" s="285"/>
      <c r="B196" s="285" t="s">
        <v>677</v>
      </c>
      <c r="C196" s="285"/>
      <c r="D196" s="285"/>
      <c r="E196" s="285"/>
      <c r="F196" s="239"/>
      <c r="G196" s="194"/>
      <c r="H196" s="280"/>
      <c r="I196" s="280"/>
      <c r="J196" s="194"/>
    </row>
    <row r="197" spans="1:10" ht="15.75">
      <c r="A197" s="239"/>
      <c r="B197" s="194"/>
      <c r="C197" s="239"/>
      <c r="D197" s="239"/>
      <c r="E197" s="239"/>
      <c r="F197" s="239"/>
      <c r="G197" s="194"/>
      <c r="H197" s="280"/>
      <c r="I197" s="280"/>
      <c r="J197" s="194"/>
    </row>
    <row r="198" spans="1:10" ht="39" customHeight="1">
      <c r="A198" s="483" t="s">
        <v>550</v>
      </c>
      <c r="B198" s="508" t="s">
        <v>1</v>
      </c>
      <c r="C198" s="508" t="s">
        <v>678</v>
      </c>
      <c r="D198" s="238" t="s">
        <v>744</v>
      </c>
      <c r="E198" s="239"/>
      <c r="F198" s="239"/>
      <c r="G198" s="259"/>
      <c r="H198" s="280"/>
      <c r="I198" s="280"/>
      <c r="J198" s="194"/>
    </row>
    <row r="199" spans="1:10" ht="31.5">
      <c r="A199" s="484"/>
      <c r="B199" s="508"/>
      <c r="C199" s="508"/>
      <c r="D199" s="272" t="s">
        <v>745</v>
      </c>
      <c r="E199" s="368"/>
      <c r="F199" s="368"/>
      <c r="G199" s="274"/>
      <c r="H199" s="280"/>
      <c r="I199" s="280"/>
      <c r="J199" s="194"/>
    </row>
    <row r="200" spans="1:10" ht="15.75">
      <c r="A200" s="283">
        <v>1</v>
      </c>
      <c r="B200" s="284">
        <v>2</v>
      </c>
      <c r="C200" s="284">
        <v>3</v>
      </c>
      <c r="D200" s="276">
        <v>5</v>
      </c>
      <c r="E200" s="233"/>
      <c r="F200" s="233"/>
      <c r="G200" s="233"/>
      <c r="H200" s="280"/>
      <c r="I200" s="280"/>
      <c r="J200" s="194"/>
    </row>
    <row r="201" spans="1:10" ht="63">
      <c r="A201" s="283">
        <v>1</v>
      </c>
      <c r="B201" s="305" t="s">
        <v>680</v>
      </c>
      <c r="C201" s="383">
        <v>3</v>
      </c>
      <c r="D201" s="384">
        <v>134000</v>
      </c>
      <c r="E201" s="233"/>
      <c r="F201" s="233"/>
      <c r="G201" s="233"/>
      <c r="H201" s="280"/>
      <c r="I201" s="280"/>
      <c r="J201" s="194"/>
    </row>
    <row r="202" spans="1:10" ht="47.25">
      <c r="A202" s="283">
        <v>2</v>
      </c>
      <c r="B202" s="305" t="s">
        <v>681</v>
      </c>
      <c r="C202" s="383">
        <v>4</v>
      </c>
      <c r="D202" s="384">
        <v>100000</v>
      </c>
      <c r="E202" s="233"/>
      <c r="F202" s="233"/>
      <c r="G202" s="233"/>
      <c r="H202" s="280"/>
      <c r="I202" s="280"/>
      <c r="J202" s="194"/>
    </row>
    <row r="203" spans="1:10" ht="15.75">
      <c r="A203" s="283">
        <v>3</v>
      </c>
      <c r="B203" s="305" t="s">
        <v>682</v>
      </c>
      <c r="C203" s="383">
        <v>2</v>
      </c>
      <c r="D203" s="384">
        <v>35000</v>
      </c>
      <c r="E203" s="233"/>
      <c r="F203" s="233"/>
      <c r="G203" s="233"/>
      <c r="H203" s="280"/>
      <c r="I203" s="280"/>
      <c r="J203" s="194"/>
    </row>
    <row r="204" spans="1:10" ht="15.75">
      <c r="A204" s="283">
        <v>4</v>
      </c>
      <c r="B204" s="305" t="s">
        <v>683</v>
      </c>
      <c r="C204" s="383">
        <v>1</v>
      </c>
      <c r="D204" s="384">
        <v>80000</v>
      </c>
      <c r="E204" s="233"/>
      <c r="F204" s="233"/>
      <c r="G204" s="233"/>
      <c r="H204" s="280"/>
      <c r="I204" s="280"/>
      <c r="J204" s="194"/>
    </row>
    <row r="205" spans="1:10" ht="31.5">
      <c r="A205" s="283">
        <v>5</v>
      </c>
      <c r="B205" s="305" t="s">
        <v>746</v>
      </c>
      <c r="C205" s="383">
        <v>1</v>
      </c>
      <c r="D205" s="384">
        <v>50000</v>
      </c>
      <c r="E205" s="233"/>
      <c r="F205" s="233"/>
      <c r="G205" s="233"/>
      <c r="H205" s="280"/>
      <c r="I205" s="280"/>
      <c r="J205" s="194"/>
    </row>
    <row r="206" spans="1:10" ht="16.5" customHeight="1">
      <c r="A206" s="283">
        <v>6</v>
      </c>
      <c r="B206" s="305" t="s">
        <v>747</v>
      </c>
      <c r="C206" s="383">
        <v>1</v>
      </c>
      <c r="D206" s="384">
        <v>80000</v>
      </c>
      <c r="E206" s="278"/>
      <c r="F206" s="278"/>
      <c r="G206" s="278"/>
      <c r="H206" s="280"/>
      <c r="I206" s="280"/>
      <c r="J206" s="194"/>
    </row>
    <row r="207" spans="1:10" ht="31.5">
      <c r="A207" s="283">
        <v>7</v>
      </c>
      <c r="B207" s="305" t="s">
        <v>748</v>
      </c>
      <c r="C207" s="383">
        <v>5</v>
      </c>
      <c r="D207" s="384">
        <v>295014.58</v>
      </c>
      <c r="E207" s="278"/>
      <c r="F207" s="278"/>
      <c r="G207" s="278"/>
      <c r="H207" s="280"/>
      <c r="I207" s="280"/>
      <c r="J207" s="194"/>
    </row>
    <row r="208" spans="1:10" ht="31.5">
      <c r="A208" s="283">
        <v>8</v>
      </c>
      <c r="B208" s="305" t="s">
        <v>749</v>
      </c>
      <c r="C208" s="383">
        <v>24</v>
      </c>
      <c r="D208" s="384">
        <v>550000</v>
      </c>
      <c r="E208" s="278"/>
      <c r="F208" s="278"/>
      <c r="G208" s="278"/>
      <c r="H208" s="280"/>
      <c r="I208" s="280"/>
      <c r="J208" s="194"/>
    </row>
    <row r="209" spans="1:10" ht="15.75">
      <c r="A209" s="506" t="s">
        <v>566</v>
      </c>
      <c r="B209" s="507"/>
      <c r="C209" s="308" t="s">
        <v>567</v>
      </c>
      <c r="D209" s="378">
        <f>SUM(D201:D208)</f>
        <v>1324014.58</v>
      </c>
      <c r="E209" s="278"/>
      <c r="F209" s="278"/>
      <c r="G209" s="278"/>
      <c r="H209" s="280"/>
      <c r="I209" s="280"/>
      <c r="J209" s="194"/>
    </row>
    <row r="210" spans="1:10" ht="15.75">
      <c r="A210" s="239"/>
      <c r="B210" s="194"/>
      <c r="C210" s="239"/>
      <c r="D210" s="239"/>
      <c r="E210" s="239"/>
      <c r="F210" s="239"/>
      <c r="G210" s="194"/>
      <c r="H210" s="280"/>
      <c r="I210" s="280"/>
      <c r="J210" s="194"/>
    </row>
    <row r="211" spans="1:11" ht="149.25" customHeight="1">
      <c r="A211" s="505" t="s">
        <v>684</v>
      </c>
      <c r="B211" s="505"/>
      <c r="C211" s="505"/>
      <c r="D211" s="505"/>
      <c r="E211" s="505"/>
      <c r="F211" s="505"/>
      <c r="G211" s="505"/>
      <c r="H211" s="505"/>
      <c r="I211" s="505"/>
      <c r="J211" s="505"/>
      <c r="K211" s="505"/>
    </row>
    <row r="212" spans="1:10" ht="15.75">
      <c r="A212" s="239"/>
      <c r="B212" s="194"/>
      <c r="C212" s="239"/>
      <c r="D212" s="239"/>
      <c r="E212" s="239"/>
      <c r="F212" s="239"/>
      <c r="G212" s="194"/>
      <c r="H212" s="280"/>
      <c r="I212" s="280"/>
      <c r="J212" s="194"/>
    </row>
    <row r="213" spans="1:4" ht="15.75">
      <c r="A213" s="196"/>
      <c r="B213" s="196" t="s">
        <v>685</v>
      </c>
      <c r="C213" s="196"/>
      <c r="D213" s="196"/>
    </row>
    <row r="214" ht="15.75">
      <c r="B214" s="187"/>
    </row>
    <row r="215" spans="1:10" ht="50.25" customHeight="1">
      <c r="A215" s="483" t="s">
        <v>550</v>
      </c>
      <c r="B215" s="483" t="s">
        <v>571</v>
      </c>
      <c r="C215" s="485"/>
      <c r="D215" s="487" t="s">
        <v>656</v>
      </c>
      <c r="E215" s="489" t="s">
        <v>686</v>
      </c>
      <c r="F215" s="229" t="s">
        <v>750</v>
      </c>
      <c r="G215" s="357"/>
      <c r="H215" s="357"/>
      <c r="I215" s="312"/>
      <c r="J215" s="228"/>
    </row>
    <row r="216" spans="1:10" ht="41.25" customHeight="1">
      <c r="A216" s="484"/>
      <c r="B216" s="484"/>
      <c r="C216" s="486"/>
      <c r="D216" s="488"/>
      <c r="E216" s="490"/>
      <c r="F216" s="229" t="s">
        <v>751</v>
      </c>
      <c r="G216" s="357"/>
      <c r="H216" s="357"/>
      <c r="I216" s="194"/>
      <c r="J216" s="230"/>
    </row>
    <row r="217" spans="1:10" ht="15.75" customHeight="1">
      <c r="A217" s="234">
        <v>1</v>
      </c>
      <c r="B217" s="492">
        <v>2</v>
      </c>
      <c r="C217" s="493"/>
      <c r="D217" s="234">
        <v>3</v>
      </c>
      <c r="E217" s="234">
        <v>4</v>
      </c>
      <c r="F217" s="234">
        <v>5</v>
      </c>
      <c r="G217" s="280"/>
      <c r="H217" s="280"/>
      <c r="I217" s="280"/>
      <c r="J217" s="280"/>
    </row>
    <row r="218" spans="1:10" ht="15.75">
      <c r="A218" s="208">
        <v>1</v>
      </c>
      <c r="B218" s="501" t="s">
        <v>688</v>
      </c>
      <c r="C218" s="502"/>
      <c r="D218" s="208">
        <v>412</v>
      </c>
      <c r="E218" s="385">
        <v>208.12</v>
      </c>
      <c r="F218" s="267">
        <v>83248</v>
      </c>
      <c r="G218" s="280"/>
      <c r="H218" s="280"/>
      <c r="I218" s="280"/>
      <c r="J218" s="194"/>
    </row>
    <row r="219" spans="1:10" ht="15.75">
      <c r="A219" s="208">
        <v>2</v>
      </c>
      <c r="B219" s="501" t="s">
        <v>689</v>
      </c>
      <c r="C219" s="502"/>
      <c r="D219" s="208">
        <v>1400</v>
      </c>
      <c r="E219" s="208">
        <v>15</v>
      </c>
      <c r="F219" s="267">
        <f>D219*E219</f>
        <v>21000</v>
      </c>
      <c r="G219" s="280"/>
      <c r="H219" s="280"/>
      <c r="I219" s="280"/>
      <c r="J219" s="194"/>
    </row>
    <row r="220" spans="1:10" ht="15.75">
      <c r="A220" s="208"/>
      <c r="B220" s="476"/>
      <c r="C220" s="477"/>
      <c r="D220" s="208"/>
      <c r="E220" s="208"/>
      <c r="F220" s="267"/>
      <c r="G220" s="194"/>
      <c r="H220" s="280"/>
      <c r="I220" s="280"/>
      <c r="J220" s="194"/>
    </row>
    <row r="221" spans="1:10" ht="15.75">
      <c r="A221" s="497" t="s">
        <v>576</v>
      </c>
      <c r="B221" s="498"/>
      <c r="C221" s="499"/>
      <c r="D221" s="318"/>
      <c r="E221" s="318" t="s">
        <v>567</v>
      </c>
      <c r="F221" s="378">
        <f>SUM(F218:F220)</f>
        <v>104248</v>
      </c>
      <c r="G221" s="194"/>
      <c r="H221" s="194"/>
      <c r="I221" s="194"/>
      <c r="J221" s="194"/>
    </row>
    <row r="222" ht="15.75">
      <c r="B222" s="187"/>
    </row>
    <row r="223" spans="1:4" ht="15.75">
      <c r="A223" s="196"/>
      <c r="B223" s="196" t="s">
        <v>691</v>
      </c>
      <c r="C223" s="196"/>
      <c r="D223" s="196"/>
    </row>
    <row r="224" ht="15.75">
      <c r="B224" s="187"/>
    </row>
    <row r="225" spans="1:10" ht="41.25" customHeight="1">
      <c r="A225" s="483" t="s">
        <v>550</v>
      </c>
      <c r="B225" s="483" t="s">
        <v>571</v>
      </c>
      <c r="C225" s="485"/>
      <c r="D225" s="487" t="s">
        <v>656</v>
      </c>
      <c r="E225" s="489" t="s">
        <v>686</v>
      </c>
      <c r="F225" s="229" t="s">
        <v>750</v>
      </c>
      <c r="G225" s="357"/>
      <c r="H225" s="357"/>
      <c r="I225" s="312"/>
      <c r="J225" s="228"/>
    </row>
    <row r="226" spans="1:10" ht="42.75" customHeight="1">
      <c r="A226" s="484"/>
      <c r="B226" s="484"/>
      <c r="C226" s="486"/>
      <c r="D226" s="488"/>
      <c r="E226" s="490"/>
      <c r="F226" s="229" t="s">
        <v>751</v>
      </c>
      <c r="G226" s="357"/>
      <c r="H226" s="357"/>
      <c r="I226" s="194"/>
      <c r="J226" s="230"/>
    </row>
    <row r="227" spans="1:10" ht="15.75" customHeight="1">
      <c r="A227" s="234">
        <v>1</v>
      </c>
      <c r="B227" s="492">
        <v>2</v>
      </c>
      <c r="C227" s="493"/>
      <c r="D227" s="234">
        <v>3</v>
      </c>
      <c r="E227" s="234">
        <v>4</v>
      </c>
      <c r="F227" s="234">
        <v>5</v>
      </c>
      <c r="G227" s="280"/>
      <c r="H227" s="280"/>
      <c r="I227" s="280"/>
      <c r="J227" s="280"/>
    </row>
    <row r="228" spans="1:10" ht="15.75">
      <c r="A228" s="208"/>
      <c r="B228" s="476"/>
      <c r="C228" s="477"/>
      <c r="D228" s="208"/>
      <c r="E228" s="208"/>
      <c r="F228" s="267"/>
      <c r="G228" s="280"/>
      <c r="H228" s="280"/>
      <c r="I228" s="280"/>
      <c r="J228" s="194"/>
    </row>
    <row r="229" spans="1:10" ht="15.75">
      <c r="A229" s="208"/>
      <c r="B229" s="476"/>
      <c r="C229" s="573"/>
      <c r="D229" s="208"/>
      <c r="E229" s="208"/>
      <c r="F229" s="267"/>
      <c r="G229" s="280"/>
      <c r="H229" s="280"/>
      <c r="I229" s="280"/>
      <c r="J229" s="194"/>
    </row>
    <row r="230" spans="1:10" ht="15.75">
      <c r="A230" s="208"/>
      <c r="B230" s="476"/>
      <c r="C230" s="573"/>
      <c r="D230" s="208"/>
      <c r="E230" s="208"/>
      <c r="F230" s="267"/>
      <c r="G230" s="280"/>
      <c r="H230" s="280"/>
      <c r="I230" s="280"/>
      <c r="J230" s="194"/>
    </row>
    <row r="231" spans="1:10" ht="15.75">
      <c r="A231" s="208"/>
      <c r="B231" s="476"/>
      <c r="C231" s="477"/>
      <c r="D231" s="208"/>
      <c r="E231" s="208"/>
      <c r="F231" s="267"/>
      <c r="G231" s="194"/>
      <c r="H231" s="280"/>
      <c r="I231" s="280"/>
      <c r="J231" s="194"/>
    </row>
    <row r="232" spans="1:10" ht="15.75">
      <c r="A232" s="478" t="s">
        <v>576</v>
      </c>
      <c r="B232" s="479"/>
      <c r="C232" s="480"/>
      <c r="D232" s="202"/>
      <c r="E232" s="202" t="s">
        <v>567</v>
      </c>
      <c r="F232" s="267">
        <f>SUM(F228:F231)</f>
        <v>0</v>
      </c>
      <c r="G232" s="194"/>
      <c r="H232" s="194"/>
      <c r="I232" s="194"/>
      <c r="J232" s="194"/>
    </row>
    <row r="233" spans="1:11" ht="135" customHeight="1">
      <c r="A233" s="500" t="s">
        <v>697</v>
      </c>
      <c r="B233" s="500"/>
      <c r="C233" s="500"/>
      <c r="D233" s="500"/>
      <c r="E233" s="500"/>
      <c r="F233" s="500"/>
      <c r="G233" s="500"/>
      <c r="H233" s="500"/>
      <c r="I233" s="500"/>
      <c r="J233" s="500"/>
      <c r="K233" s="500"/>
    </row>
    <row r="234" ht="15.75">
      <c r="B234" s="187"/>
    </row>
    <row r="235" spans="1:4" ht="15.75">
      <c r="A235" s="196"/>
      <c r="B235" s="196" t="s">
        <v>698</v>
      </c>
      <c r="C235" s="196"/>
      <c r="D235" s="196"/>
    </row>
    <row r="236" ht="15.75">
      <c r="B236" s="187"/>
    </row>
    <row r="237" spans="1:10" ht="48" customHeight="1">
      <c r="A237" s="483" t="s">
        <v>550</v>
      </c>
      <c r="B237" s="483" t="s">
        <v>571</v>
      </c>
      <c r="C237" s="485"/>
      <c r="D237" s="487" t="s">
        <v>656</v>
      </c>
      <c r="E237" s="489" t="s">
        <v>686</v>
      </c>
      <c r="F237" s="229" t="s">
        <v>750</v>
      </c>
      <c r="G237" s="357"/>
      <c r="H237" s="357"/>
      <c r="I237" s="312"/>
      <c r="J237" s="228"/>
    </row>
    <row r="238" spans="1:10" ht="49.5" customHeight="1">
      <c r="A238" s="484"/>
      <c r="B238" s="484"/>
      <c r="C238" s="486"/>
      <c r="D238" s="488"/>
      <c r="E238" s="490"/>
      <c r="F238" s="229" t="s">
        <v>752</v>
      </c>
      <c r="G238" s="357"/>
      <c r="H238" s="357"/>
      <c r="I238" s="194"/>
      <c r="J238" s="230"/>
    </row>
    <row r="239" spans="1:10" ht="15.75" customHeight="1">
      <c r="A239" s="234">
        <v>1</v>
      </c>
      <c r="B239" s="492">
        <v>2</v>
      </c>
      <c r="C239" s="493"/>
      <c r="D239" s="234">
        <v>3</v>
      </c>
      <c r="E239" s="234">
        <v>4</v>
      </c>
      <c r="F239" s="234">
        <v>5</v>
      </c>
      <c r="G239" s="280"/>
      <c r="H239" s="280"/>
      <c r="I239" s="280"/>
      <c r="J239" s="280"/>
    </row>
    <row r="240" spans="1:10" ht="15.75" customHeight="1">
      <c r="A240" s="234"/>
      <c r="B240" s="235"/>
      <c r="C240" s="313"/>
      <c r="D240" s="234"/>
      <c r="E240" s="234"/>
      <c r="F240" s="359"/>
      <c r="G240" s="280"/>
      <c r="H240" s="280"/>
      <c r="I240" s="280"/>
      <c r="J240" s="280"/>
    </row>
    <row r="241" spans="1:10" ht="15.75">
      <c r="A241" s="208"/>
      <c r="B241" s="476"/>
      <c r="C241" s="477"/>
      <c r="D241" s="208"/>
      <c r="E241" s="208"/>
      <c r="F241" s="359"/>
      <c r="G241" s="280"/>
      <c r="H241" s="280"/>
      <c r="I241" s="280"/>
      <c r="J241" s="194"/>
    </row>
    <row r="242" spans="1:10" ht="15.75">
      <c r="A242" s="208"/>
      <c r="B242" s="476"/>
      <c r="C242" s="477"/>
      <c r="D242" s="208"/>
      <c r="E242" s="208"/>
      <c r="F242" s="359"/>
      <c r="G242" s="194"/>
      <c r="H242" s="280"/>
      <c r="I242" s="280"/>
      <c r="J242" s="194"/>
    </row>
    <row r="243" spans="1:10" ht="15.75">
      <c r="A243" s="478" t="s">
        <v>576</v>
      </c>
      <c r="B243" s="479"/>
      <c r="C243" s="480"/>
      <c r="D243" s="202"/>
      <c r="E243" s="202" t="s">
        <v>567</v>
      </c>
      <c r="F243" s="267">
        <f>SUM(F240:F242)</f>
        <v>0</v>
      </c>
      <c r="G243" s="194"/>
      <c r="H243" s="194"/>
      <c r="I243" s="194"/>
      <c r="J243" s="194"/>
    </row>
    <row r="246" spans="1:4" ht="18.75">
      <c r="A246" s="319" t="s">
        <v>699</v>
      </c>
      <c r="B246" s="319"/>
      <c r="C246" s="319"/>
      <c r="D246" s="320"/>
    </row>
    <row r="247" spans="1:4" ht="15.75">
      <c r="A247" s="322"/>
      <c r="B247" s="323"/>
      <c r="C247" s="323"/>
      <c r="D247" s="324"/>
    </row>
    <row r="248" spans="1:4" ht="31.5">
      <c r="A248" s="325" t="s">
        <v>550</v>
      </c>
      <c r="B248" s="481" t="s">
        <v>700</v>
      </c>
      <c r="C248" s="481"/>
      <c r="D248" s="326" t="s">
        <v>701</v>
      </c>
    </row>
    <row r="249" spans="1:4" ht="15.75">
      <c r="A249" s="328">
        <v>1</v>
      </c>
      <c r="B249" s="482" t="s">
        <v>724</v>
      </c>
      <c r="C249" s="482"/>
      <c r="D249" s="386">
        <f>J20+F31+F40+F58+G73+G92+E107+E122+F139+E150+F162+E173+E192+D209+F221+F232+F243</f>
        <v>6741583.04</v>
      </c>
    </row>
    <row r="252" spans="1:5" ht="15.75">
      <c r="A252" s="187" t="s">
        <v>704</v>
      </c>
      <c r="C252" s="187" t="s">
        <v>705</v>
      </c>
      <c r="E252" s="187" t="s">
        <v>706</v>
      </c>
    </row>
    <row r="254" spans="1:5" ht="15.75">
      <c r="A254" s="187" t="s">
        <v>13</v>
      </c>
      <c r="C254" s="187" t="s">
        <v>705</v>
      </c>
      <c r="E254" s="187" t="s">
        <v>707</v>
      </c>
    </row>
  </sheetData>
  <sheetProtection/>
  <mergeCells count="156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2:K22"/>
    <mergeCell ref="B23:K23"/>
    <mergeCell ref="B24:I24"/>
    <mergeCell ref="A26:A27"/>
    <mergeCell ref="B26:B27"/>
    <mergeCell ref="C26:C27"/>
    <mergeCell ref="D26:D27"/>
    <mergeCell ref="E26:E27"/>
    <mergeCell ref="A31:B31"/>
    <mergeCell ref="B33:F33"/>
    <mergeCell ref="A35:A36"/>
    <mergeCell ref="B35:B36"/>
    <mergeCell ref="C35:C36"/>
    <mergeCell ref="D35:D36"/>
    <mergeCell ref="E35:E36"/>
    <mergeCell ref="A40:B40"/>
    <mergeCell ref="B42:I42"/>
    <mergeCell ref="A44:A45"/>
    <mergeCell ref="B44:D45"/>
    <mergeCell ref="E44:E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A58:D58"/>
    <mergeCell ref="A60:K60"/>
    <mergeCell ref="B61:F61"/>
    <mergeCell ref="A62:K62"/>
    <mergeCell ref="A68:A69"/>
    <mergeCell ref="B68:D69"/>
    <mergeCell ref="E68:E69"/>
    <mergeCell ref="F68:F69"/>
    <mergeCell ref="B70:D70"/>
    <mergeCell ref="B71:D71"/>
    <mergeCell ref="B72:D72"/>
    <mergeCell ref="A73:D73"/>
    <mergeCell ref="A75:K75"/>
    <mergeCell ref="A77:K77"/>
    <mergeCell ref="A83:A84"/>
    <mergeCell ref="B83:C84"/>
    <mergeCell ref="D83:D84"/>
    <mergeCell ref="E83:E84"/>
    <mergeCell ref="F83:G83"/>
    <mergeCell ref="B85:C85"/>
    <mergeCell ref="B86:C86"/>
    <mergeCell ref="B87:C87"/>
    <mergeCell ref="B88:C88"/>
    <mergeCell ref="B89:C89"/>
    <mergeCell ref="B90:C90"/>
    <mergeCell ref="B91:C91"/>
    <mergeCell ref="A92:C92"/>
    <mergeCell ref="A94:K94"/>
    <mergeCell ref="A96:K96"/>
    <mergeCell ref="A97:E97"/>
    <mergeCell ref="A102:A103"/>
    <mergeCell ref="B102:B103"/>
    <mergeCell ref="C102:C103"/>
    <mergeCell ref="D102:D103"/>
    <mergeCell ref="A107:B107"/>
    <mergeCell ref="A109:K109"/>
    <mergeCell ref="A111:K111"/>
    <mergeCell ref="A117:A118"/>
    <mergeCell ref="B117:B118"/>
    <mergeCell ref="C117:C118"/>
    <mergeCell ref="D117:D118"/>
    <mergeCell ref="A122:B122"/>
    <mergeCell ref="A124:K124"/>
    <mergeCell ref="A126:K126"/>
    <mergeCell ref="A134:A135"/>
    <mergeCell ref="B134:B135"/>
    <mergeCell ref="C134:C135"/>
    <mergeCell ref="D134:D135"/>
    <mergeCell ref="E134:E135"/>
    <mergeCell ref="A139:B139"/>
    <mergeCell ref="A141:K141"/>
    <mergeCell ref="A145:A146"/>
    <mergeCell ref="B145:B146"/>
    <mergeCell ref="C145:C146"/>
    <mergeCell ref="D145:D146"/>
    <mergeCell ref="A150:B150"/>
    <mergeCell ref="A152:K152"/>
    <mergeCell ref="A156:A157"/>
    <mergeCell ref="B156:B157"/>
    <mergeCell ref="C156:C157"/>
    <mergeCell ref="D156:D157"/>
    <mergeCell ref="E156:E157"/>
    <mergeCell ref="A162:B162"/>
    <mergeCell ref="A164:K164"/>
    <mergeCell ref="A168:A169"/>
    <mergeCell ref="B168:B169"/>
    <mergeCell ref="C168:C169"/>
    <mergeCell ref="D168:D169"/>
    <mergeCell ref="A173:B173"/>
    <mergeCell ref="A175:K175"/>
    <mergeCell ref="A179:A180"/>
    <mergeCell ref="B179:B180"/>
    <mergeCell ref="C179:C180"/>
    <mergeCell ref="D179:D180"/>
    <mergeCell ref="A192:B192"/>
    <mergeCell ref="A194:K194"/>
    <mergeCell ref="A198:A199"/>
    <mergeCell ref="B198:B199"/>
    <mergeCell ref="C198:C199"/>
    <mergeCell ref="A209:B209"/>
    <mergeCell ref="A211:K211"/>
    <mergeCell ref="A215:A216"/>
    <mergeCell ref="B215:C216"/>
    <mergeCell ref="D215:D216"/>
    <mergeCell ref="E215:E216"/>
    <mergeCell ref="B217:C217"/>
    <mergeCell ref="B218:C218"/>
    <mergeCell ref="B219:C219"/>
    <mergeCell ref="B220:C220"/>
    <mergeCell ref="A221:C221"/>
    <mergeCell ref="A225:A226"/>
    <mergeCell ref="B225:C226"/>
    <mergeCell ref="D225:D226"/>
    <mergeCell ref="E225:E226"/>
    <mergeCell ref="B227:C227"/>
    <mergeCell ref="B228:C228"/>
    <mergeCell ref="B229:C229"/>
    <mergeCell ref="B230:C230"/>
    <mergeCell ref="B231:C231"/>
    <mergeCell ref="A232:C232"/>
    <mergeCell ref="A233:K233"/>
    <mergeCell ref="A237:A238"/>
    <mergeCell ref="B237:C238"/>
    <mergeCell ref="D237:D238"/>
    <mergeCell ref="E237:E238"/>
    <mergeCell ref="B239:C239"/>
    <mergeCell ref="B241:C241"/>
    <mergeCell ref="B242:C242"/>
    <mergeCell ref="A243:C243"/>
    <mergeCell ref="B248:C248"/>
    <mergeCell ref="B249:C2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7" manualBreakCount="7">
    <brk id="31" max="255" man="1"/>
    <brk id="61" max="255" man="1"/>
    <brk id="95" max="255" man="1"/>
    <brk id="125" max="255" man="1"/>
    <brk id="153" max="255" man="1"/>
    <brk id="192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423" t="s">
        <v>393</v>
      </c>
      <c r="C1" s="423"/>
    </row>
    <row r="2" spans="2:3" ht="10.5" customHeight="1">
      <c r="B2" s="49" t="s">
        <v>381</v>
      </c>
      <c r="C2" s="49"/>
    </row>
    <row r="3" spans="2:3" ht="21" customHeight="1">
      <c r="B3" s="424" t="s">
        <v>0</v>
      </c>
      <c r="C3" s="424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257288.19999999998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12011.8</v>
      </c>
    </row>
    <row r="9" spans="1:3" s="18" customFormat="1" ht="18" customHeight="1">
      <c r="A9" s="52"/>
      <c r="B9" s="76" t="s">
        <v>383</v>
      </c>
      <c r="C9" s="74">
        <v>6846.64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12571.6</v>
      </c>
    </row>
    <row r="14" spans="1:3" s="18" customFormat="1" ht="38.25" customHeight="1">
      <c r="A14" s="52"/>
      <c r="B14" s="72" t="s">
        <v>386</v>
      </c>
      <c r="C14" s="74">
        <v>12113.5</v>
      </c>
    </row>
    <row r="15" spans="1:3" s="18" customFormat="1" ht="15.75">
      <c r="A15" s="52"/>
      <c r="B15" s="76" t="s">
        <v>383</v>
      </c>
      <c r="C15" s="74">
        <v>458.1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45679.200000000004</v>
      </c>
    </row>
    <row r="22" spans="1:3" s="18" customFormat="1" ht="15" customHeight="1">
      <c r="A22" s="53" t="s">
        <v>442</v>
      </c>
      <c r="B22" s="72" t="s">
        <v>140</v>
      </c>
      <c r="C22" s="74">
        <f>C23+C24</f>
        <v>12165.2</v>
      </c>
    </row>
    <row r="23" spans="1:3" s="18" customFormat="1" ht="15" customHeight="1">
      <c r="A23" s="53"/>
      <c r="B23" s="72" t="s">
        <v>141</v>
      </c>
      <c r="C23" s="74">
        <v>8165.2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f>C29+C41</f>
        <v>43.6</v>
      </c>
    </row>
    <row r="28" spans="1:3" s="18" customFormat="1" ht="15" customHeight="1">
      <c r="A28" s="52"/>
      <c r="B28" s="72" t="s">
        <v>389</v>
      </c>
      <c r="C28" s="74"/>
    </row>
    <row r="29" spans="1:3" s="18" customFormat="1" ht="31.5">
      <c r="A29" s="52"/>
      <c r="B29" s="72" t="s">
        <v>445</v>
      </c>
      <c r="C29" s="74">
        <v>43.6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32.7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8"/>
  <sheetViews>
    <sheetView view="pageBreakPreview" zoomScale="120" zoomScaleNormal="120" zoomScaleSheetLayoutView="120" workbookViewId="0" topLeftCell="A166">
      <selection activeCell="J98" sqref="J98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9.7109375" style="20" customWidth="1"/>
    <col min="5" max="6" width="6.7109375" style="20" customWidth="1"/>
    <col min="7" max="7" width="12.7109375" style="20" customWidth="1"/>
    <col min="8" max="10" width="12.421875" style="20" customWidth="1"/>
    <col min="11" max="11" width="0.85546875" style="20" customWidth="1"/>
    <col min="12" max="12" width="0.71875" style="20" customWidth="1"/>
    <col min="13" max="13" width="14.00390625" style="20" customWidth="1"/>
    <col min="14" max="14" width="10.140625" style="20" customWidth="1"/>
    <col min="15" max="15" width="12.8515625" style="63" customWidth="1"/>
  </cols>
  <sheetData>
    <row r="1" spans="1:14" ht="12.75" customHeight="1">
      <c r="A1" s="442" t="s">
        <v>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448" t="s">
        <v>41</v>
      </c>
      <c r="I3" s="448"/>
      <c r="J3" s="448"/>
      <c r="K3" s="448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446">
        <v>43517</v>
      </c>
      <c r="I4" s="447"/>
      <c r="J4" s="447"/>
      <c r="K4" s="447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443" t="s">
        <v>1</v>
      </c>
      <c r="B6" s="439" t="s">
        <v>45</v>
      </c>
      <c r="C6" s="427" t="s">
        <v>397</v>
      </c>
      <c r="D6" s="449" t="s">
        <v>163</v>
      </c>
      <c r="E6" s="436" t="s">
        <v>164</v>
      </c>
      <c r="F6" s="439" t="s">
        <v>165</v>
      </c>
      <c r="G6" s="430" t="s">
        <v>338</v>
      </c>
      <c r="H6" s="433" t="s">
        <v>38</v>
      </c>
      <c r="I6" s="434"/>
      <c r="J6" s="434"/>
      <c r="K6" s="434"/>
      <c r="L6" s="434"/>
      <c r="M6" s="434"/>
      <c r="N6" s="435"/>
      <c r="O6" s="64"/>
    </row>
    <row r="7" spans="1:15" s="8" customFormat="1" ht="16.5" customHeight="1">
      <c r="A7" s="444"/>
      <c r="B7" s="439"/>
      <c r="C7" s="428"/>
      <c r="D7" s="450"/>
      <c r="E7" s="437"/>
      <c r="F7" s="439"/>
      <c r="G7" s="431"/>
      <c r="H7" s="436" t="s">
        <v>33</v>
      </c>
      <c r="I7" s="439" t="s">
        <v>4</v>
      </c>
      <c r="J7" s="439"/>
      <c r="K7" s="439"/>
      <c r="L7" s="439"/>
      <c r="M7" s="439"/>
      <c r="N7" s="439"/>
      <c r="O7" s="64"/>
    </row>
    <row r="8" spans="1:15" s="8" customFormat="1" ht="68.25" customHeight="1">
      <c r="A8" s="444"/>
      <c r="B8" s="439"/>
      <c r="C8" s="428"/>
      <c r="D8" s="450"/>
      <c r="E8" s="437"/>
      <c r="F8" s="439"/>
      <c r="G8" s="431"/>
      <c r="H8" s="437"/>
      <c r="I8" s="440" t="s">
        <v>398</v>
      </c>
      <c r="J8" s="425" t="s">
        <v>166</v>
      </c>
      <c r="K8" s="438" t="s">
        <v>34</v>
      </c>
      <c r="L8" s="437" t="s">
        <v>35</v>
      </c>
      <c r="M8" s="438" t="s">
        <v>50</v>
      </c>
      <c r="N8" s="438"/>
      <c r="O8" s="64"/>
    </row>
    <row r="9" spans="1:15" s="8" customFormat="1" ht="30.75" customHeight="1">
      <c r="A9" s="445"/>
      <c r="B9" s="439"/>
      <c r="C9" s="429"/>
      <c r="D9" s="451"/>
      <c r="E9" s="438"/>
      <c r="F9" s="439"/>
      <c r="G9" s="432"/>
      <c r="H9" s="438"/>
      <c r="I9" s="441"/>
      <c r="J9" s="426"/>
      <c r="K9" s="439"/>
      <c r="L9" s="438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4" s="169" customFormat="1" ht="12.75">
      <c r="A11" s="103" t="s">
        <v>43</v>
      </c>
      <c r="B11" s="166">
        <v>100</v>
      </c>
      <c r="C11" s="166"/>
      <c r="D11" s="166"/>
      <c r="E11" s="166"/>
      <c r="F11" s="166" t="s">
        <v>10</v>
      </c>
      <c r="G11" s="167"/>
      <c r="H11" s="168">
        <f>H13+H17+H50</f>
        <v>41077405.43</v>
      </c>
      <c r="I11" s="168">
        <f>I17</f>
        <v>29554017.829999994</v>
      </c>
      <c r="J11" s="168">
        <f>J50</f>
        <v>4781804.5600000005</v>
      </c>
      <c r="K11" s="168">
        <f>K51</f>
        <v>0</v>
      </c>
      <c r="L11" s="168">
        <f>L17</f>
        <v>0</v>
      </c>
      <c r="M11" s="168">
        <f>M13+M17+M49+M59</f>
        <v>6741583.04</v>
      </c>
      <c r="N11" s="168">
        <f>N17+N59</f>
        <v>0</v>
      </c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4" customFormat="1" ht="17.25" customHeight="1">
      <c r="A13" s="170" t="s">
        <v>32</v>
      </c>
      <c r="B13" s="158">
        <v>110</v>
      </c>
      <c r="C13" s="158">
        <v>120</v>
      </c>
      <c r="D13" s="171" t="s">
        <v>523</v>
      </c>
      <c r="E13" s="158"/>
      <c r="F13" s="158">
        <v>120</v>
      </c>
      <c r="G13" s="172" t="s">
        <v>363</v>
      </c>
      <c r="H13" s="160">
        <f>M13</f>
        <v>723583.04</v>
      </c>
      <c r="I13" s="158" t="s">
        <v>74</v>
      </c>
      <c r="J13" s="158" t="s">
        <v>74</v>
      </c>
      <c r="K13" s="173" t="s">
        <v>10</v>
      </c>
      <c r="L13" s="173" t="s">
        <v>10</v>
      </c>
      <c r="M13" s="163">
        <f>M15+M16</f>
        <v>723583.04</v>
      </c>
      <c r="N13" s="173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523</v>
      </c>
      <c r="E15" s="115"/>
      <c r="F15" s="115">
        <v>121</v>
      </c>
      <c r="G15" s="117" t="s">
        <v>363</v>
      </c>
      <c r="H15" s="118">
        <f>SUM(I15:M15)</f>
        <v>673583.04</v>
      </c>
      <c r="I15" s="122"/>
      <c r="J15" s="115"/>
      <c r="K15" s="119"/>
      <c r="L15" s="123"/>
      <c r="M15" s="118">
        <v>673583.04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523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4" customFormat="1" ht="23.25" customHeight="1">
      <c r="A17" s="170" t="s">
        <v>367</v>
      </c>
      <c r="B17" s="158">
        <v>120</v>
      </c>
      <c r="C17" s="158">
        <v>130</v>
      </c>
      <c r="D17" s="171" t="s">
        <v>523</v>
      </c>
      <c r="E17" s="158"/>
      <c r="F17" s="158">
        <v>130</v>
      </c>
      <c r="G17" s="172" t="s">
        <v>363</v>
      </c>
      <c r="H17" s="182">
        <f>I17+L17+M17+N17</f>
        <v>35572017.83</v>
      </c>
      <c r="I17" s="182">
        <f>SUM(I18:I40)</f>
        <v>29554017.829999994</v>
      </c>
      <c r="J17" s="158" t="s">
        <v>74</v>
      </c>
      <c r="K17" s="158" t="s">
        <v>74</v>
      </c>
      <c r="L17" s="182">
        <f>L18+L20+L22+L24+L26+L28+L29+L30+L31+L32+L33+L34+L35+L36+L37+L38+L39+L40</f>
        <v>0</v>
      </c>
      <c r="M17" s="182">
        <f>M18+M20+M22+M24+M26+M28+M29+M30+M31+M32+M33+M34+M35+M36+M37+M38+M39+M40+M21+M41</f>
        <v>6018000</v>
      </c>
      <c r="N17" s="182">
        <f>N18+N20+N22+N24+N26+N28+N29+N30+N31+N32+N33+N34+N35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524</v>
      </c>
      <c r="E18" s="115"/>
      <c r="F18" s="115">
        <v>131</v>
      </c>
      <c r="G18" s="181" t="s">
        <v>526</v>
      </c>
      <c r="H18" s="125">
        <f aca="true" t="shared" si="0" ref="H18:H41">I18+J18+K18+L18+M18</f>
        <v>0</v>
      </c>
      <c r="I18" s="125">
        <v>0</v>
      </c>
      <c r="J18" s="125">
        <v>0</v>
      </c>
      <c r="K18" s="112"/>
      <c r="L18" s="111"/>
      <c r="M18" s="125">
        <v>0</v>
      </c>
      <c r="N18" s="125"/>
    </row>
    <row r="19" spans="1:14" s="107" customFormat="1" ht="12" customHeight="1">
      <c r="A19" s="124" t="s">
        <v>356</v>
      </c>
      <c r="B19" s="115"/>
      <c r="C19" s="115">
        <v>131</v>
      </c>
      <c r="D19" s="116" t="s">
        <v>524</v>
      </c>
      <c r="E19" s="115"/>
      <c r="F19" s="115">
        <v>131</v>
      </c>
      <c r="G19" s="181" t="s">
        <v>527</v>
      </c>
      <c r="H19" s="125">
        <f>I19+J19+K19+L19+M19</f>
        <v>0</v>
      </c>
      <c r="I19" s="125">
        <v>0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524</v>
      </c>
      <c r="E20" s="115"/>
      <c r="F20" s="115">
        <v>131</v>
      </c>
      <c r="G20" s="181" t="s">
        <v>526</v>
      </c>
      <c r="H20" s="125">
        <f t="shared" si="0"/>
        <v>0</v>
      </c>
      <c r="I20" s="125">
        <v>0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523</v>
      </c>
      <c r="E21" s="115"/>
      <c r="F21" s="115">
        <v>131</v>
      </c>
      <c r="G21" s="117" t="s">
        <v>363</v>
      </c>
      <c r="H21" s="118">
        <f t="shared" si="0"/>
        <v>0</v>
      </c>
      <c r="I21" s="118">
        <v>0</v>
      </c>
      <c r="J21" s="118">
        <v>0</v>
      </c>
      <c r="K21" s="119"/>
      <c r="L21" s="123"/>
      <c r="M21" s="118">
        <v>0</v>
      </c>
      <c r="N21" s="118"/>
    </row>
    <row r="22" spans="1:14" s="107" customFormat="1" ht="26.25" customHeight="1">
      <c r="A22" s="108" t="s">
        <v>344</v>
      </c>
      <c r="B22" s="109"/>
      <c r="C22" s="109">
        <v>131</v>
      </c>
      <c r="D22" s="116" t="s">
        <v>524</v>
      </c>
      <c r="E22" s="109"/>
      <c r="F22" s="109">
        <v>131</v>
      </c>
      <c r="G22" s="102" t="s">
        <v>528</v>
      </c>
      <c r="H22" s="125">
        <f t="shared" si="0"/>
        <v>6806441.2299999995</v>
      </c>
      <c r="I22" s="125">
        <f>223576.47+6582864.76</f>
        <v>6806441.2299999995</v>
      </c>
      <c r="J22" s="125"/>
      <c r="K22" s="112"/>
      <c r="L22" s="111"/>
      <c r="M22" s="125"/>
      <c r="N22" s="125"/>
    </row>
    <row r="23" spans="1:14" s="107" customFormat="1" ht="26.25" customHeight="1">
      <c r="A23" s="108" t="s">
        <v>344</v>
      </c>
      <c r="B23" s="109"/>
      <c r="C23" s="109">
        <v>131</v>
      </c>
      <c r="D23" s="116" t="s">
        <v>524</v>
      </c>
      <c r="E23" s="109"/>
      <c r="F23" s="109">
        <v>131</v>
      </c>
      <c r="G23" s="102" t="s">
        <v>529</v>
      </c>
      <c r="H23" s="125">
        <f>I23+J23+K23+L23+M23</f>
        <v>1684410.72</v>
      </c>
      <c r="I23" s="125">
        <f>1712009.64-27598.92</f>
        <v>1684410.72</v>
      </c>
      <c r="J23" s="125"/>
      <c r="K23" s="112"/>
      <c r="L23" s="111"/>
      <c r="M23" s="125"/>
      <c r="N23" s="125"/>
    </row>
    <row r="24" spans="1:14" s="107" customFormat="1" ht="26.25" customHeight="1">
      <c r="A24" s="108" t="s">
        <v>345</v>
      </c>
      <c r="B24" s="109"/>
      <c r="C24" s="109">
        <v>131</v>
      </c>
      <c r="D24" s="116" t="s">
        <v>524</v>
      </c>
      <c r="E24" s="109"/>
      <c r="F24" s="109">
        <v>131</v>
      </c>
      <c r="G24" s="102" t="s">
        <v>528</v>
      </c>
      <c r="H24" s="125">
        <f t="shared" si="0"/>
        <v>11162689.2</v>
      </c>
      <c r="I24" s="125">
        <f>360180+10802509.2</f>
        <v>11162689.2</v>
      </c>
      <c r="J24" s="125"/>
      <c r="K24" s="112"/>
      <c r="L24" s="111"/>
      <c r="M24" s="125"/>
      <c r="N24" s="125"/>
    </row>
    <row r="25" spans="1:14" s="107" customFormat="1" ht="26.25" customHeight="1">
      <c r="A25" s="108" t="s">
        <v>345</v>
      </c>
      <c r="B25" s="109"/>
      <c r="C25" s="109">
        <v>131</v>
      </c>
      <c r="D25" s="116" t="s">
        <v>524</v>
      </c>
      <c r="E25" s="109"/>
      <c r="F25" s="109">
        <v>131</v>
      </c>
      <c r="G25" s="102" t="s">
        <v>529</v>
      </c>
      <c r="H25" s="125">
        <f>I25+J25+K25+L25+M25</f>
        <v>1618522.52</v>
      </c>
      <c r="I25" s="125">
        <f>1644933.36-26410.84</f>
        <v>1618522.52</v>
      </c>
      <c r="J25" s="125"/>
      <c r="K25" s="112"/>
      <c r="L25" s="111"/>
      <c r="M25" s="125"/>
      <c r="N25" s="125"/>
    </row>
    <row r="26" spans="1:14" s="107" customFormat="1" ht="26.25" customHeight="1">
      <c r="A26" s="108" t="s">
        <v>346</v>
      </c>
      <c r="B26" s="109"/>
      <c r="C26" s="109">
        <v>131</v>
      </c>
      <c r="D26" s="116" t="s">
        <v>524</v>
      </c>
      <c r="E26" s="109"/>
      <c r="F26" s="109">
        <v>131</v>
      </c>
      <c r="G26" s="102" t="s">
        <v>528</v>
      </c>
      <c r="H26" s="125">
        <f t="shared" si="0"/>
        <v>3986028.2</v>
      </c>
      <c r="I26" s="125">
        <f>122248+3863780.2</f>
        <v>3986028.2</v>
      </c>
      <c r="J26" s="125"/>
      <c r="K26" s="112"/>
      <c r="L26" s="111"/>
      <c r="M26" s="125"/>
      <c r="N26" s="125"/>
    </row>
    <row r="27" spans="1:14" s="107" customFormat="1" ht="26.25" customHeight="1">
      <c r="A27" s="108" t="s">
        <v>346</v>
      </c>
      <c r="B27" s="109"/>
      <c r="C27" s="109">
        <v>131</v>
      </c>
      <c r="D27" s="116" t="s">
        <v>524</v>
      </c>
      <c r="E27" s="109"/>
      <c r="F27" s="109">
        <v>131</v>
      </c>
      <c r="G27" s="102" t="s">
        <v>529</v>
      </c>
      <c r="H27" s="125">
        <f>I27+J27+K27+L27+M27</f>
        <v>546472.99</v>
      </c>
      <c r="I27" s="125">
        <f>555423.64-8950.65</f>
        <v>546472.99</v>
      </c>
      <c r="J27" s="125"/>
      <c r="K27" s="112"/>
      <c r="L27" s="111"/>
      <c r="M27" s="125"/>
      <c r="N27" s="125"/>
    </row>
    <row r="28" spans="1:14" s="107" customFormat="1" ht="12" customHeight="1">
      <c r="A28" s="108" t="s">
        <v>347</v>
      </c>
      <c r="B28" s="109"/>
      <c r="C28" s="109">
        <v>131</v>
      </c>
      <c r="D28" s="116" t="s">
        <v>524</v>
      </c>
      <c r="E28" s="109"/>
      <c r="F28" s="109">
        <v>131</v>
      </c>
      <c r="G28" s="110"/>
      <c r="H28" s="125">
        <f t="shared" si="0"/>
        <v>0</v>
      </c>
      <c r="I28" s="125">
        <v>0</v>
      </c>
      <c r="J28" s="125"/>
      <c r="K28" s="112"/>
      <c r="L28" s="111"/>
      <c r="M28" s="125"/>
      <c r="N28" s="125"/>
    </row>
    <row r="29" spans="1:14" s="107" customFormat="1" ht="27.75" customHeight="1">
      <c r="A29" s="126" t="s">
        <v>517</v>
      </c>
      <c r="B29" s="109"/>
      <c r="C29" s="109">
        <v>131</v>
      </c>
      <c r="D29" s="116" t="s">
        <v>524</v>
      </c>
      <c r="E29" s="109"/>
      <c r="F29" s="109">
        <v>131</v>
      </c>
      <c r="G29" s="110"/>
      <c r="H29" s="125">
        <f t="shared" si="0"/>
        <v>0</v>
      </c>
      <c r="I29" s="125">
        <v>0</v>
      </c>
      <c r="J29" s="125"/>
      <c r="K29" s="112"/>
      <c r="L29" s="111"/>
      <c r="M29" s="125"/>
      <c r="N29" s="125"/>
    </row>
    <row r="30" spans="1:14" s="107" customFormat="1" ht="44.25" customHeight="1">
      <c r="A30" s="108" t="s">
        <v>348</v>
      </c>
      <c r="B30" s="109"/>
      <c r="C30" s="109">
        <v>131</v>
      </c>
      <c r="D30" s="116" t="s">
        <v>524</v>
      </c>
      <c r="E30" s="109"/>
      <c r="F30" s="109">
        <v>131</v>
      </c>
      <c r="G30" s="110"/>
      <c r="H30" s="125">
        <f t="shared" si="0"/>
        <v>0</v>
      </c>
      <c r="I30" s="125">
        <v>0</v>
      </c>
      <c r="J30" s="125"/>
      <c r="K30" s="112"/>
      <c r="L30" s="111"/>
      <c r="M30" s="125"/>
      <c r="N30" s="125"/>
    </row>
    <row r="31" spans="1:14" s="107" customFormat="1" ht="22.5" customHeight="1">
      <c r="A31" s="114" t="s">
        <v>349</v>
      </c>
      <c r="B31" s="115"/>
      <c r="C31" s="115">
        <v>131</v>
      </c>
      <c r="D31" s="116" t="s">
        <v>524</v>
      </c>
      <c r="E31" s="115"/>
      <c r="F31" s="115">
        <v>131</v>
      </c>
      <c r="G31" s="122"/>
      <c r="H31" s="118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31.5" customHeight="1">
      <c r="A32" s="127" t="s">
        <v>350</v>
      </c>
      <c r="B32" s="115"/>
      <c r="C32" s="115">
        <v>131</v>
      </c>
      <c r="D32" s="116" t="s">
        <v>524</v>
      </c>
      <c r="E32" s="115"/>
      <c r="F32" s="115">
        <v>131</v>
      </c>
      <c r="G32" s="122"/>
      <c r="H32" s="118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43.5" customHeight="1">
      <c r="A33" s="114" t="s">
        <v>351</v>
      </c>
      <c r="B33" s="115"/>
      <c r="C33" s="115">
        <v>131</v>
      </c>
      <c r="D33" s="116" t="s">
        <v>524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33" customHeight="1">
      <c r="A34" s="114" t="s">
        <v>352</v>
      </c>
      <c r="B34" s="115"/>
      <c r="C34" s="115">
        <v>131</v>
      </c>
      <c r="D34" s="116" t="s">
        <v>524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33.75" customHeight="1">
      <c r="A35" s="114" t="s">
        <v>353</v>
      </c>
      <c r="B35" s="115"/>
      <c r="C35" s="115">
        <v>131</v>
      </c>
      <c r="D35" s="116" t="s">
        <v>524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25.5">
      <c r="A36" s="114" t="s">
        <v>51</v>
      </c>
      <c r="B36" s="115"/>
      <c r="C36" s="115">
        <v>131</v>
      </c>
      <c r="D36" s="116" t="s">
        <v>524</v>
      </c>
      <c r="E36" s="115"/>
      <c r="F36" s="115">
        <v>131</v>
      </c>
      <c r="G36" s="102" t="s">
        <v>529</v>
      </c>
      <c r="H36" s="118">
        <f t="shared" si="0"/>
        <v>789739.97</v>
      </c>
      <c r="I36" s="125">
        <f>805176-15436.03</f>
        <v>789739.97</v>
      </c>
      <c r="J36" s="125"/>
      <c r="K36" s="112"/>
      <c r="L36" s="111"/>
      <c r="M36" s="125"/>
      <c r="N36" s="125"/>
    </row>
    <row r="37" spans="1:14" s="107" customFormat="1" ht="15.75" customHeight="1">
      <c r="A37" s="114" t="s">
        <v>52</v>
      </c>
      <c r="B37" s="115"/>
      <c r="C37" s="115">
        <v>131</v>
      </c>
      <c r="D37" s="116" t="s">
        <v>524</v>
      </c>
      <c r="E37" s="115"/>
      <c r="F37" s="115">
        <v>131</v>
      </c>
      <c r="G37" s="102" t="s">
        <v>529</v>
      </c>
      <c r="H37" s="118">
        <f t="shared" si="0"/>
        <v>2959713</v>
      </c>
      <c r="I37" s="125">
        <v>2959713</v>
      </c>
      <c r="J37" s="125"/>
      <c r="K37" s="112"/>
      <c r="L37" s="111"/>
      <c r="M37" s="125"/>
      <c r="N37" s="125"/>
    </row>
    <row r="38" spans="1:14" s="128" customFormat="1" ht="15.75" customHeight="1">
      <c r="A38" s="114" t="s">
        <v>46</v>
      </c>
      <c r="B38" s="115"/>
      <c r="C38" s="115">
        <v>131</v>
      </c>
      <c r="D38" s="116" t="s">
        <v>523</v>
      </c>
      <c r="E38" s="115"/>
      <c r="F38" s="115">
        <v>131</v>
      </c>
      <c r="G38" s="117" t="s">
        <v>363</v>
      </c>
      <c r="H38" s="118">
        <f t="shared" si="0"/>
        <v>5661000</v>
      </c>
      <c r="I38" s="118"/>
      <c r="J38" s="118"/>
      <c r="K38" s="119"/>
      <c r="L38" s="123"/>
      <c r="M38" s="118">
        <v>5661000</v>
      </c>
      <c r="N38" s="118"/>
    </row>
    <row r="39" spans="1:14" s="128" customFormat="1" ht="15.75" customHeight="1">
      <c r="A39" s="114" t="s">
        <v>48</v>
      </c>
      <c r="B39" s="115"/>
      <c r="C39" s="115">
        <v>131</v>
      </c>
      <c r="D39" s="116" t="s">
        <v>523</v>
      </c>
      <c r="E39" s="115"/>
      <c r="F39" s="115">
        <v>131</v>
      </c>
      <c r="G39" s="117" t="s">
        <v>363</v>
      </c>
      <c r="H39" s="118">
        <f>I39+J39+K39+L39+M39</f>
        <v>0</v>
      </c>
      <c r="I39" s="118"/>
      <c r="J39" s="118"/>
      <c r="K39" s="119"/>
      <c r="L39" s="123"/>
      <c r="M39" s="118"/>
      <c r="N39" s="118"/>
    </row>
    <row r="40" spans="1:14" s="128" customFormat="1" ht="15.75" customHeight="1">
      <c r="A40" s="114" t="s">
        <v>368</v>
      </c>
      <c r="B40" s="115"/>
      <c r="C40" s="115">
        <v>134</v>
      </c>
      <c r="D40" s="116" t="s">
        <v>523</v>
      </c>
      <c r="E40" s="115"/>
      <c r="F40" s="115">
        <v>134</v>
      </c>
      <c r="G40" s="117" t="s">
        <v>363</v>
      </c>
      <c r="H40" s="118">
        <f t="shared" si="0"/>
        <v>0</v>
      </c>
      <c r="I40" s="118"/>
      <c r="J40" s="118"/>
      <c r="K40" s="119"/>
      <c r="L40" s="123"/>
      <c r="M40" s="118"/>
      <c r="N40" s="118"/>
    </row>
    <row r="41" spans="1:14" s="128" customFormat="1" ht="21.75" customHeight="1">
      <c r="A41" s="114" t="s">
        <v>47</v>
      </c>
      <c r="B41" s="115"/>
      <c r="C41" s="115">
        <v>135</v>
      </c>
      <c r="D41" s="116" t="s">
        <v>523</v>
      </c>
      <c r="E41" s="115"/>
      <c r="F41" s="115">
        <v>135</v>
      </c>
      <c r="G41" s="117" t="s">
        <v>363</v>
      </c>
      <c r="H41" s="118">
        <f t="shared" si="0"/>
        <v>357000</v>
      </c>
      <c r="I41" s="118"/>
      <c r="J41" s="118"/>
      <c r="K41" s="119"/>
      <c r="L41" s="123"/>
      <c r="M41" s="118">
        <v>357000</v>
      </c>
      <c r="N41" s="118"/>
    </row>
    <row r="42" spans="1:14" s="134" customFormat="1" ht="27.75" customHeight="1">
      <c r="A42" s="129" t="s">
        <v>432</v>
      </c>
      <c r="B42" s="130">
        <v>130</v>
      </c>
      <c r="C42" s="130">
        <v>140</v>
      </c>
      <c r="D42" s="116" t="s">
        <v>523</v>
      </c>
      <c r="E42" s="130"/>
      <c r="F42" s="130">
        <v>140</v>
      </c>
      <c r="G42" s="131" t="s">
        <v>363</v>
      </c>
      <c r="H42" s="132">
        <f>M42</f>
        <v>0</v>
      </c>
      <c r="I42" s="130" t="s">
        <v>74</v>
      </c>
      <c r="J42" s="130" t="s">
        <v>74</v>
      </c>
      <c r="K42" s="130" t="s">
        <v>74</v>
      </c>
      <c r="L42" s="130" t="s">
        <v>74</v>
      </c>
      <c r="M42" s="133">
        <f>M44+M45+M46+M47+M48</f>
        <v>0</v>
      </c>
      <c r="N42" s="130" t="s">
        <v>74</v>
      </c>
    </row>
    <row r="43" spans="1:14" s="128" customFormat="1" ht="12.75">
      <c r="A43" s="114" t="s">
        <v>364</v>
      </c>
      <c r="B43" s="115"/>
      <c r="C43" s="115"/>
      <c r="D43" s="116"/>
      <c r="E43" s="115"/>
      <c r="F43" s="115"/>
      <c r="G43" s="122"/>
      <c r="H43" s="118"/>
      <c r="I43" s="122"/>
      <c r="J43" s="115"/>
      <c r="K43" s="119"/>
      <c r="L43" s="123"/>
      <c r="M43" s="118"/>
      <c r="N43" s="123"/>
    </row>
    <row r="44" spans="1:14" s="128" customFormat="1" ht="38.25">
      <c r="A44" s="114" t="s">
        <v>369</v>
      </c>
      <c r="B44" s="115"/>
      <c r="C44" s="115">
        <v>141</v>
      </c>
      <c r="D44" s="116" t="s">
        <v>523</v>
      </c>
      <c r="E44" s="115"/>
      <c r="F44" s="115">
        <v>141</v>
      </c>
      <c r="G44" s="117" t="s">
        <v>363</v>
      </c>
      <c r="H44" s="118">
        <f>I44+J44+K44+L44+M44</f>
        <v>0</v>
      </c>
      <c r="I44" s="122"/>
      <c r="J44" s="115"/>
      <c r="K44" s="119"/>
      <c r="L44" s="123"/>
      <c r="M44" s="118"/>
      <c r="N44" s="123"/>
    </row>
    <row r="45" spans="1:14" s="128" customFormat="1" ht="25.5">
      <c r="A45" s="114" t="s">
        <v>370</v>
      </c>
      <c r="B45" s="115"/>
      <c r="C45" s="115">
        <v>142</v>
      </c>
      <c r="D45" s="116" t="s">
        <v>523</v>
      </c>
      <c r="E45" s="115"/>
      <c r="F45" s="115">
        <v>142</v>
      </c>
      <c r="G45" s="117" t="s">
        <v>363</v>
      </c>
      <c r="H45" s="118">
        <f>I45+J45+K45+L45+M45</f>
        <v>0</v>
      </c>
      <c r="I45" s="122"/>
      <c r="J45" s="115"/>
      <c r="K45" s="119"/>
      <c r="L45" s="123"/>
      <c r="M45" s="118"/>
      <c r="N45" s="123"/>
    </row>
    <row r="46" spans="1:14" s="128" customFormat="1" ht="15" customHeight="1">
      <c r="A46" s="114" t="s">
        <v>371</v>
      </c>
      <c r="B46" s="115"/>
      <c r="C46" s="115">
        <v>143</v>
      </c>
      <c r="D46" s="116" t="s">
        <v>523</v>
      </c>
      <c r="E46" s="115"/>
      <c r="F46" s="115">
        <v>143</v>
      </c>
      <c r="G46" s="117" t="s">
        <v>363</v>
      </c>
      <c r="H46" s="118">
        <f>I46+J46+K46+L46+M46</f>
        <v>0</v>
      </c>
      <c r="I46" s="122"/>
      <c r="J46" s="115"/>
      <c r="K46" s="119"/>
      <c r="L46" s="123"/>
      <c r="M46" s="118"/>
      <c r="N46" s="123"/>
    </row>
    <row r="47" spans="1:14" s="128" customFormat="1" ht="15" customHeight="1">
      <c r="A47" s="114" t="s">
        <v>372</v>
      </c>
      <c r="B47" s="115"/>
      <c r="C47" s="115">
        <v>144</v>
      </c>
      <c r="D47" s="116" t="s">
        <v>523</v>
      </c>
      <c r="E47" s="115"/>
      <c r="F47" s="115">
        <v>144</v>
      </c>
      <c r="G47" s="117" t="s">
        <v>363</v>
      </c>
      <c r="H47" s="118">
        <f>I47+J47+K47+L47+M47</f>
        <v>0</v>
      </c>
      <c r="I47" s="122"/>
      <c r="J47" s="115"/>
      <c r="K47" s="119"/>
      <c r="L47" s="123"/>
      <c r="M47" s="118"/>
      <c r="N47" s="123"/>
    </row>
    <row r="48" spans="1:14" s="128" customFormat="1" ht="15" customHeight="1">
      <c r="A48" s="114" t="s">
        <v>373</v>
      </c>
      <c r="B48" s="115"/>
      <c r="C48" s="115">
        <v>145</v>
      </c>
      <c r="D48" s="116" t="s">
        <v>523</v>
      </c>
      <c r="E48" s="115"/>
      <c r="F48" s="115">
        <v>145</v>
      </c>
      <c r="G48" s="117" t="s">
        <v>363</v>
      </c>
      <c r="H48" s="118">
        <f>I48+J48+K48+L48+M48</f>
        <v>0</v>
      </c>
      <c r="I48" s="122"/>
      <c r="J48" s="115"/>
      <c r="K48" s="119"/>
      <c r="L48" s="123"/>
      <c r="M48" s="118"/>
      <c r="N48" s="123"/>
    </row>
    <row r="49" spans="1:14" s="107" customFormat="1" ht="47.25" customHeight="1">
      <c r="A49" s="114" t="s">
        <v>49</v>
      </c>
      <c r="B49" s="115">
        <v>140</v>
      </c>
      <c r="C49" s="115"/>
      <c r="D49" s="116" t="s">
        <v>523</v>
      </c>
      <c r="E49" s="115"/>
      <c r="F49" s="115"/>
      <c r="G49" s="122"/>
      <c r="H49" s="118">
        <f>M49</f>
        <v>0</v>
      </c>
      <c r="I49" s="109" t="s">
        <v>74</v>
      </c>
      <c r="J49" s="109" t="s">
        <v>74</v>
      </c>
      <c r="K49" s="109" t="s">
        <v>74</v>
      </c>
      <c r="L49" s="109" t="s">
        <v>74</v>
      </c>
      <c r="M49" s="109"/>
      <c r="N49" s="109" t="s">
        <v>74</v>
      </c>
    </row>
    <row r="50" spans="1:14" s="169" customFormat="1" ht="33" customHeight="1">
      <c r="A50" s="170" t="s">
        <v>167</v>
      </c>
      <c r="B50" s="158">
        <v>150</v>
      </c>
      <c r="C50" s="158">
        <v>150</v>
      </c>
      <c r="D50" s="158">
        <v>901000000</v>
      </c>
      <c r="E50" s="158"/>
      <c r="F50" s="158">
        <v>150</v>
      </c>
      <c r="G50" s="159"/>
      <c r="H50" s="182">
        <f aca="true" t="shared" si="1" ref="H50:H58">J50+K50</f>
        <v>4781804.5600000005</v>
      </c>
      <c r="I50" s="175" t="s">
        <v>74</v>
      </c>
      <c r="J50" s="176">
        <f>SUM(J51:J57)</f>
        <v>4781804.5600000005</v>
      </c>
      <c r="K50" s="175">
        <f>K51</f>
        <v>0</v>
      </c>
      <c r="L50" s="175" t="s">
        <v>74</v>
      </c>
      <c r="M50" s="175" t="s">
        <v>74</v>
      </c>
      <c r="N50" s="175" t="s">
        <v>74</v>
      </c>
    </row>
    <row r="51" spans="1:14" s="107" customFormat="1" ht="23.25" customHeight="1">
      <c r="A51" s="114" t="s">
        <v>167</v>
      </c>
      <c r="B51" s="115">
        <v>150</v>
      </c>
      <c r="C51" s="115">
        <v>152</v>
      </c>
      <c r="D51" s="115">
        <v>901480000</v>
      </c>
      <c r="E51" s="115"/>
      <c r="F51" s="115">
        <v>152</v>
      </c>
      <c r="G51" s="122" t="s">
        <v>528</v>
      </c>
      <c r="H51" s="118">
        <f t="shared" si="1"/>
        <v>1781767</v>
      </c>
      <c r="I51" s="109"/>
      <c r="J51" s="125">
        <v>1781767</v>
      </c>
      <c r="K51" s="112"/>
      <c r="L51" s="109" t="s">
        <v>74</v>
      </c>
      <c r="M51" s="109" t="s">
        <v>74</v>
      </c>
      <c r="N51" s="109" t="s">
        <v>74</v>
      </c>
    </row>
    <row r="52" spans="1:14" s="107" customFormat="1" ht="23.25" customHeight="1">
      <c r="A52" s="114" t="s">
        <v>167</v>
      </c>
      <c r="B52" s="115">
        <v>150</v>
      </c>
      <c r="C52" s="115">
        <v>152</v>
      </c>
      <c r="D52" s="115">
        <v>901160000</v>
      </c>
      <c r="E52" s="115"/>
      <c r="F52" s="115">
        <v>152</v>
      </c>
      <c r="G52" s="122" t="s">
        <v>528</v>
      </c>
      <c r="H52" s="118">
        <f t="shared" si="1"/>
        <v>949644</v>
      </c>
      <c r="I52" s="109"/>
      <c r="J52" s="125">
        <v>949644</v>
      </c>
      <c r="K52" s="112"/>
      <c r="L52" s="109" t="s">
        <v>74</v>
      </c>
      <c r="M52" s="109" t="s">
        <v>74</v>
      </c>
      <c r="N52" s="109" t="s">
        <v>74</v>
      </c>
    </row>
    <row r="53" spans="1:14" s="107" customFormat="1" ht="23.25" customHeight="1">
      <c r="A53" s="114" t="s">
        <v>167</v>
      </c>
      <c r="B53" s="115">
        <v>150</v>
      </c>
      <c r="C53" s="115">
        <v>152</v>
      </c>
      <c r="D53" s="115">
        <v>901830000</v>
      </c>
      <c r="E53" s="115"/>
      <c r="F53" s="115">
        <v>152</v>
      </c>
      <c r="G53" s="122" t="s">
        <v>528</v>
      </c>
      <c r="H53" s="118">
        <f t="shared" si="1"/>
        <v>532435.56</v>
      </c>
      <c r="I53" s="109"/>
      <c r="J53" s="125">
        <v>532435.56</v>
      </c>
      <c r="K53" s="112"/>
      <c r="L53" s="109" t="s">
        <v>74</v>
      </c>
      <c r="M53" s="109" t="s">
        <v>74</v>
      </c>
      <c r="N53" s="109" t="s">
        <v>74</v>
      </c>
    </row>
    <row r="54" spans="1:14" s="107" customFormat="1" ht="23.25" customHeight="1">
      <c r="A54" s="114" t="s">
        <v>167</v>
      </c>
      <c r="B54" s="115">
        <v>150</v>
      </c>
      <c r="C54" s="115">
        <v>152</v>
      </c>
      <c r="D54" s="115">
        <v>901210000</v>
      </c>
      <c r="E54" s="115"/>
      <c r="F54" s="115">
        <v>152</v>
      </c>
      <c r="G54" s="117" t="s">
        <v>530</v>
      </c>
      <c r="H54" s="118">
        <f t="shared" si="1"/>
        <v>876777</v>
      </c>
      <c r="I54" s="109"/>
      <c r="J54" s="125">
        <v>876777</v>
      </c>
      <c r="K54" s="112"/>
      <c r="L54" s="109" t="s">
        <v>74</v>
      </c>
      <c r="M54" s="109" t="s">
        <v>74</v>
      </c>
      <c r="N54" s="109" t="s">
        <v>74</v>
      </c>
    </row>
    <row r="55" spans="1:14" s="107" customFormat="1" ht="23.25" customHeight="1">
      <c r="A55" s="114" t="s">
        <v>167</v>
      </c>
      <c r="B55" s="115">
        <v>150</v>
      </c>
      <c r="C55" s="115">
        <v>152</v>
      </c>
      <c r="D55" s="115">
        <v>901150000</v>
      </c>
      <c r="E55" s="115"/>
      <c r="F55" s="115">
        <v>152</v>
      </c>
      <c r="G55" s="122" t="s">
        <v>528</v>
      </c>
      <c r="H55" s="118">
        <f t="shared" si="1"/>
        <v>396173</v>
      </c>
      <c r="I55" s="109"/>
      <c r="J55" s="125">
        <v>396173</v>
      </c>
      <c r="K55" s="112"/>
      <c r="L55" s="109" t="s">
        <v>74</v>
      </c>
      <c r="M55" s="109" t="s">
        <v>74</v>
      </c>
      <c r="N55" s="109" t="s">
        <v>74</v>
      </c>
    </row>
    <row r="56" spans="1:14" s="107" customFormat="1" ht="23.25" customHeight="1">
      <c r="A56" s="114" t="s">
        <v>167</v>
      </c>
      <c r="B56" s="115">
        <v>150</v>
      </c>
      <c r="C56" s="115">
        <v>152</v>
      </c>
      <c r="D56" s="115">
        <v>901170000</v>
      </c>
      <c r="E56" s="115"/>
      <c r="F56" s="115">
        <v>152</v>
      </c>
      <c r="G56" s="122" t="s">
        <v>543</v>
      </c>
      <c r="H56" s="118">
        <f>J56+K56</f>
        <v>90000</v>
      </c>
      <c r="I56" s="109"/>
      <c r="J56" s="125">
        <v>90000</v>
      </c>
      <c r="K56" s="112"/>
      <c r="L56" s="109" t="s">
        <v>74</v>
      </c>
      <c r="M56" s="109" t="s">
        <v>74</v>
      </c>
      <c r="N56" s="109" t="s">
        <v>74</v>
      </c>
    </row>
    <row r="57" spans="1:14" s="107" customFormat="1" ht="23.25" customHeight="1">
      <c r="A57" s="114" t="s">
        <v>167</v>
      </c>
      <c r="B57" s="115">
        <v>150</v>
      </c>
      <c r="C57" s="115">
        <v>152</v>
      </c>
      <c r="D57" s="115">
        <v>901140000</v>
      </c>
      <c r="E57" s="115"/>
      <c r="F57" s="115">
        <v>152</v>
      </c>
      <c r="G57" s="122" t="s">
        <v>528</v>
      </c>
      <c r="H57" s="118">
        <f t="shared" si="1"/>
        <v>155008</v>
      </c>
      <c r="I57" s="109"/>
      <c r="J57" s="125">
        <v>155008</v>
      </c>
      <c r="K57" s="112"/>
      <c r="L57" s="109" t="s">
        <v>74</v>
      </c>
      <c r="M57" s="109" t="s">
        <v>74</v>
      </c>
      <c r="N57" s="109" t="s">
        <v>74</v>
      </c>
    </row>
    <row r="58" spans="1:14" s="107" customFormat="1" ht="23.25" customHeight="1">
      <c r="A58" s="114" t="s">
        <v>167</v>
      </c>
      <c r="B58" s="115">
        <v>150</v>
      </c>
      <c r="C58" s="115">
        <v>152</v>
      </c>
      <c r="D58" s="115">
        <v>901750000</v>
      </c>
      <c r="E58" s="115"/>
      <c r="F58" s="115">
        <v>152</v>
      </c>
      <c r="G58" s="117" t="s">
        <v>531</v>
      </c>
      <c r="H58" s="118">
        <f t="shared" si="1"/>
        <v>0</v>
      </c>
      <c r="I58" s="109"/>
      <c r="J58" s="125">
        <v>0</v>
      </c>
      <c r="K58" s="112"/>
      <c r="L58" s="109"/>
      <c r="M58" s="110"/>
      <c r="N58" s="110"/>
    </row>
    <row r="59" spans="1:14" s="128" customFormat="1" ht="15" customHeight="1">
      <c r="A59" s="114" t="s">
        <v>210</v>
      </c>
      <c r="B59" s="115">
        <v>160</v>
      </c>
      <c r="C59" s="115">
        <v>180</v>
      </c>
      <c r="D59" s="116" t="s">
        <v>523</v>
      </c>
      <c r="E59" s="115"/>
      <c r="F59" s="115">
        <v>180</v>
      </c>
      <c r="G59" s="117" t="s">
        <v>363</v>
      </c>
      <c r="H59" s="118">
        <f aca="true" t="shared" si="2" ref="H59:H67">M59</f>
        <v>0</v>
      </c>
      <c r="I59" s="115" t="s">
        <v>74</v>
      </c>
      <c r="J59" s="115" t="s">
        <v>74</v>
      </c>
      <c r="K59" s="115" t="s">
        <v>74</v>
      </c>
      <c r="L59" s="115" t="s">
        <v>74</v>
      </c>
      <c r="M59" s="118">
        <f>M60+M61</f>
        <v>0</v>
      </c>
      <c r="N59" s="118">
        <f>N60+N61</f>
        <v>0</v>
      </c>
    </row>
    <row r="60" spans="1:14" s="128" customFormat="1" ht="15" customHeight="1">
      <c r="A60" s="136" t="s">
        <v>133</v>
      </c>
      <c r="B60" s="115"/>
      <c r="C60" s="115">
        <v>189</v>
      </c>
      <c r="D60" s="116" t="s">
        <v>523</v>
      </c>
      <c r="E60" s="115"/>
      <c r="F60" s="115">
        <v>189</v>
      </c>
      <c r="G60" s="117" t="s">
        <v>363</v>
      </c>
      <c r="H60" s="118">
        <f t="shared" si="2"/>
        <v>0</v>
      </c>
      <c r="I60" s="118"/>
      <c r="J60" s="118"/>
      <c r="K60" s="119"/>
      <c r="L60" s="123"/>
      <c r="M60" s="118"/>
      <c r="N60" s="118"/>
    </row>
    <row r="61" spans="1:14" s="128" customFormat="1" ht="15" customHeight="1">
      <c r="A61" s="136" t="s">
        <v>134</v>
      </c>
      <c r="B61" s="115"/>
      <c r="C61" s="115">
        <v>189</v>
      </c>
      <c r="D61" s="116" t="s">
        <v>523</v>
      </c>
      <c r="E61" s="115"/>
      <c r="F61" s="115">
        <v>189</v>
      </c>
      <c r="G61" s="117" t="s">
        <v>363</v>
      </c>
      <c r="H61" s="118">
        <f t="shared" si="2"/>
        <v>0</v>
      </c>
      <c r="I61" s="118"/>
      <c r="J61" s="118"/>
      <c r="K61" s="119"/>
      <c r="L61" s="123"/>
      <c r="M61" s="118"/>
      <c r="N61" s="118"/>
    </row>
    <row r="62" spans="1:14" s="128" customFormat="1" ht="24" customHeight="1">
      <c r="A62" s="114" t="s">
        <v>211</v>
      </c>
      <c r="B62" s="115">
        <v>180</v>
      </c>
      <c r="C62" s="115">
        <v>400</v>
      </c>
      <c r="D62" s="116" t="s">
        <v>523</v>
      </c>
      <c r="E62" s="115" t="s">
        <v>74</v>
      </c>
      <c r="F62" s="115">
        <v>400</v>
      </c>
      <c r="G62" s="117" t="s">
        <v>363</v>
      </c>
      <c r="H62" s="118">
        <f t="shared" si="2"/>
        <v>0</v>
      </c>
      <c r="I62" s="115" t="s">
        <v>74</v>
      </c>
      <c r="J62" s="115" t="s">
        <v>74</v>
      </c>
      <c r="K62" s="115" t="s">
        <v>74</v>
      </c>
      <c r="L62" s="115" t="s">
        <v>74</v>
      </c>
      <c r="M62" s="118">
        <f>M63+M64+M65+M67+M66</f>
        <v>0</v>
      </c>
      <c r="N62" s="115" t="s">
        <v>74</v>
      </c>
    </row>
    <row r="63" spans="1:14" s="128" customFormat="1" ht="24" customHeight="1">
      <c r="A63" s="137" t="s">
        <v>374</v>
      </c>
      <c r="B63" s="115"/>
      <c r="C63" s="115">
        <v>410</v>
      </c>
      <c r="D63" s="116" t="s">
        <v>523</v>
      </c>
      <c r="E63" s="115"/>
      <c r="F63" s="115">
        <v>410</v>
      </c>
      <c r="G63" s="117" t="s">
        <v>363</v>
      </c>
      <c r="H63" s="118">
        <f t="shared" si="2"/>
        <v>0</v>
      </c>
      <c r="I63" s="118"/>
      <c r="J63" s="118"/>
      <c r="K63" s="119"/>
      <c r="L63" s="123"/>
      <c r="M63" s="118"/>
      <c r="N63" s="118"/>
    </row>
    <row r="64" spans="1:14" s="128" customFormat="1" ht="24" customHeight="1">
      <c r="A64" s="137" t="s">
        <v>375</v>
      </c>
      <c r="B64" s="115"/>
      <c r="C64" s="115">
        <v>420</v>
      </c>
      <c r="D64" s="116" t="s">
        <v>523</v>
      </c>
      <c r="E64" s="115"/>
      <c r="F64" s="115">
        <v>420</v>
      </c>
      <c r="G64" s="117" t="s">
        <v>363</v>
      </c>
      <c r="H64" s="118">
        <f t="shared" si="2"/>
        <v>0</v>
      </c>
      <c r="I64" s="118"/>
      <c r="J64" s="118"/>
      <c r="K64" s="119"/>
      <c r="L64" s="123"/>
      <c r="M64" s="118"/>
      <c r="N64" s="118"/>
    </row>
    <row r="65" spans="1:14" s="128" customFormat="1" ht="24" customHeight="1">
      <c r="A65" s="137" t="s">
        <v>376</v>
      </c>
      <c r="B65" s="115"/>
      <c r="C65" s="115">
        <v>430</v>
      </c>
      <c r="D65" s="116" t="s">
        <v>523</v>
      </c>
      <c r="E65" s="115"/>
      <c r="F65" s="115">
        <v>430</v>
      </c>
      <c r="G65" s="117" t="s">
        <v>363</v>
      </c>
      <c r="H65" s="118">
        <f t="shared" si="2"/>
        <v>0</v>
      </c>
      <c r="I65" s="118"/>
      <c r="J65" s="118"/>
      <c r="K65" s="119"/>
      <c r="L65" s="123"/>
      <c r="M65" s="118"/>
      <c r="N65" s="118"/>
    </row>
    <row r="66" spans="1:14" s="121" customFormat="1" ht="24" customHeight="1">
      <c r="A66" s="137" t="s">
        <v>425</v>
      </c>
      <c r="B66" s="115"/>
      <c r="C66" s="115">
        <v>440</v>
      </c>
      <c r="D66" s="116" t="s">
        <v>523</v>
      </c>
      <c r="E66" s="115"/>
      <c r="F66" s="115">
        <v>440</v>
      </c>
      <c r="G66" s="117" t="s">
        <v>363</v>
      </c>
      <c r="H66" s="118">
        <f>M66</f>
        <v>0</v>
      </c>
      <c r="I66" s="118"/>
      <c r="J66" s="118"/>
      <c r="K66" s="119"/>
      <c r="L66" s="123"/>
      <c r="M66" s="118"/>
      <c r="N66" s="118"/>
    </row>
    <row r="67" spans="1:14" s="128" customFormat="1" ht="24" customHeight="1">
      <c r="A67" s="137" t="s">
        <v>377</v>
      </c>
      <c r="B67" s="115"/>
      <c r="C67" s="115">
        <v>450</v>
      </c>
      <c r="D67" s="116" t="s">
        <v>523</v>
      </c>
      <c r="E67" s="115"/>
      <c r="F67" s="115">
        <v>450</v>
      </c>
      <c r="G67" s="117" t="s">
        <v>363</v>
      </c>
      <c r="H67" s="118">
        <f t="shared" si="2"/>
        <v>0</v>
      </c>
      <c r="I67" s="118"/>
      <c r="J67" s="118"/>
      <c r="K67" s="119"/>
      <c r="L67" s="123"/>
      <c r="M67" s="118"/>
      <c r="N67" s="118"/>
    </row>
    <row r="68" spans="1:14" s="8" customFormat="1" ht="11.25" customHeight="1">
      <c r="A68" s="138" t="s">
        <v>44</v>
      </c>
      <c r="B68" s="139">
        <v>200</v>
      </c>
      <c r="C68" s="139"/>
      <c r="D68" s="139"/>
      <c r="E68" s="139"/>
      <c r="F68" s="140"/>
      <c r="G68" s="140"/>
      <c r="H68" s="141">
        <f aca="true" t="shared" si="3" ref="H68:N68">H70+H87+H96+H110+H111+H115</f>
        <v>41077405.43</v>
      </c>
      <c r="I68" s="141">
        <f t="shared" si="3"/>
        <v>29554017.83</v>
      </c>
      <c r="J68" s="141">
        <f t="shared" si="3"/>
        <v>4781804.56</v>
      </c>
      <c r="K68" s="141">
        <f t="shared" si="3"/>
        <v>0</v>
      </c>
      <c r="L68" s="141">
        <f t="shared" si="3"/>
        <v>0</v>
      </c>
      <c r="M68" s="141">
        <f t="shared" si="3"/>
        <v>6741583.04</v>
      </c>
      <c r="N68" s="141">
        <f t="shared" si="3"/>
        <v>0</v>
      </c>
    </row>
    <row r="69" spans="1:14" s="8" customFormat="1" ht="13.5" customHeight="1">
      <c r="A69" s="142" t="s">
        <v>4</v>
      </c>
      <c r="B69" s="109"/>
      <c r="C69" s="109"/>
      <c r="D69" s="109"/>
      <c r="E69" s="109"/>
      <c r="F69" s="109"/>
      <c r="G69" s="110"/>
      <c r="H69" s="125"/>
      <c r="I69" s="125"/>
      <c r="J69" s="125"/>
      <c r="K69" s="113"/>
      <c r="L69" s="113"/>
      <c r="M69" s="113"/>
      <c r="N69" s="113"/>
    </row>
    <row r="70" spans="1:14" s="162" customFormat="1" ht="13.5" customHeight="1">
      <c r="A70" s="177" t="s">
        <v>296</v>
      </c>
      <c r="B70" s="175">
        <v>210</v>
      </c>
      <c r="C70" s="175"/>
      <c r="D70" s="175"/>
      <c r="E70" s="175"/>
      <c r="F70" s="175"/>
      <c r="G70" s="178"/>
      <c r="H70" s="161">
        <f>H72</f>
        <v>27374493.98</v>
      </c>
      <c r="I70" s="161">
        <f aca="true" t="shared" si="4" ref="I70:N70">I72</f>
        <v>21249154.16</v>
      </c>
      <c r="J70" s="161">
        <f t="shared" si="4"/>
        <v>3353846.5599999996</v>
      </c>
      <c r="K70" s="161">
        <f t="shared" si="4"/>
        <v>0</v>
      </c>
      <c r="L70" s="161">
        <f t="shared" si="4"/>
        <v>0</v>
      </c>
      <c r="M70" s="161">
        <f t="shared" si="4"/>
        <v>2771493.26</v>
      </c>
      <c r="N70" s="161">
        <f t="shared" si="4"/>
        <v>0</v>
      </c>
    </row>
    <row r="71" spans="1:14" s="8" customFormat="1" ht="13.5" customHeight="1">
      <c r="A71" s="143" t="s">
        <v>3</v>
      </c>
      <c r="B71" s="115"/>
      <c r="C71" s="115"/>
      <c r="D71" s="115"/>
      <c r="E71" s="115"/>
      <c r="F71" s="115"/>
      <c r="G71" s="122"/>
      <c r="H71" s="118"/>
      <c r="I71" s="125"/>
      <c r="J71" s="125"/>
      <c r="K71" s="113"/>
      <c r="L71" s="113"/>
      <c r="M71" s="113"/>
      <c r="N71" s="113"/>
    </row>
    <row r="72" spans="1:14" s="162" customFormat="1" ht="25.5" customHeight="1">
      <c r="A72" s="157" t="s">
        <v>297</v>
      </c>
      <c r="B72" s="158">
        <v>211</v>
      </c>
      <c r="C72" s="158"/>
      <c r="D72" s="158"/>
      <c r="E72" s="158"/>
      <c r="F72" s="158"/>
      <c r="G72" s="159"/>
      <c r="H72" s="160">
        <f>SUM(H74:H86)</f>
        <v>27374493.98</v>
      </c>
      <c r="I72" s="161">
        <f>I74+I79+I80+I82</f>
        <v>21249154.16</v>
      </c>
      <c r="J72" s="161">
        <f>SUM(J74:J85)</f>
        <v>3353846.5599999996</v>
      </c>
      <c r="K72" s="161">
        <f>K74+K79+K80+K82</f>
        <v>0</v>
      </c>
      <c r="L72" s="161">
        <f>L74+L79+L80+L82</f>
        <v>0</v>
      </c>
      <c r="M72" s="161">
        <f>SUM(M74:M86)</f>
        <v>2771493.26</v>
      </c>
      <c r="N72" s="161">
        <f>N74+N79+N80+N82</f>
        <v>0</v>
      </c>
    </row>
    <row r="73" spans="1:14" s="8" customFormat="1" ht="16.5" customHeight="1">
      <c r="A73" s="143" t="s">
        <v>4</v>
      </c>
      <c r="B73" s="115"/>
      <c r="C73" s="115"/>
      <c r="D73" s="115"/>
      <c r="E73" s="115"/>
      <c r="F73" s="115"/>
      <c r="G73" s="122"/>
      <c r="H73" s="118"/>
      <c r="I73" s="125"/>
      <c r="J73" s="125"/>
      <c r="K73" s="113"/>
      <c r="L73" s="113"/>
      <c r="M73" s="113"/>
      <c r="N73" s="113"/>
    </row>
    <row r="74" spans="1:14" s="8" customFormat="1" ht="16.5" customHeight="1">
      <c r="A74" s="143" t="s">
        <v>298</v>
      </c>
      <c r="B74" s="115"/>
      <c r="C74" s="115">
        <v>211</v>
      </c>
      <c r="D74" s="116" t="s">
        <v>524</v>
      </c>
      <c r="E74" s="115">
        <v>111</v>
      </c>
      <c r="F74" s="115">
        <v>211</v>
      </c>
      <c r="G74" s="102" t="s">
        <v>525</v>
      </c>
      <c r="H74" s="118">
        <f>I74+J74+K74+L74+M74+N74</f>
        <v>16320396.12</v>
      </c>
      <c r="I74" s="125">
        <f>'ФЭО МЗ'!J26</f>
        <v>16320396.12</v>
      </c>
      <c r="J74" s="125"/>
      <c r="K74" s="113"/>
      <c r="L74" s="113"/>
      <c r="M74" s="113"/>
      <c r="N74" s="113"/>
    </row>
    <row r="75" spans="1:14" s="8" customFormat="1" ht="16.5" customHeight="1">
      <c r="A75" s="143" t="s">
        <v>298</v>
      </c>
      <c r="B75" s="115"/>
      <c r="C75" s="115">
        <v>211</v>
      </c>
      <c r="D75" s="115">
        <v>901480000</v>
      </c>
      <c r="E75" s="115">
        <v>111</v>
      </c>
      <c r="F75" s="115">
        <v>211</v>
      </c>
      <c r="G75" s="102" t="s">
        <v>525</v>
      </c>
      <c r="H75" s="118">
        <f>SUM(I75:J75)</f>
        <v>1291679.72</v>
      </c>
      <c r="I75" s="125"/>
      <c r="J75" s="125">
        <v>1291679.72</v>
      </c>
      <c r="K75" s="113"/>
      <c r="L75" s="113"/>
      <c r="M75" s="113"/>
      <c r="N75" s="113"/>
    </row>
    <row r="76" spans="1:14" s="8" customFormat="1" ht="16.5" customHeight="1">
      <c r="A76" s="143" t="s">
        <v>298</v>
      </c>
      <c r="B76" s="115"/>
      <c r="C76" s="115">
        <v>211</v>
      </c>
      <c r="D76" s="115">
        <v>901160000</v>
      </c>
      <c r="E76" s="115">
        <v>111</v>
      </c>
      <c r="F76" s="115">
        <v>211</v>
      </c>
      <c r="G76" s="102" t="s">
        <v>525</v>
      </c>
      <c r="H76" s="118">
        <f>SUM(I76:J76)</f>
        <v>729373.27</v>
      </c>
      <c r="I76" s="125"/>
      <c r="J76" s="125">
        <v>729373.27</v>
      </c>
      <c r="K76" s="113"/>
      <c r="L76" s="113"/>
      <c r="M76" s="113"/>
      <c r="N76" s="113"/>
    </row>
    <row r="77" spans="1:14" s="8" customFormat="1" ht="16.5" customHeight="1">
      <c r="A77" s="143" t="s">
        <v>298</v>
      </c>
      <c r="B77" s="115"/>
      <c r="C77" s="115">
        <v>211</v>
      </c>
      <c r="D77" s="115">
        <v>901830000</v>
      </c>
      <c r="E77" s="115">
        <v>111</v>
      </c>
      <c r="F77" s="115">
        <v>211</v>
      </c>
      <c r="G77" s="102" t="s">
        <v>525</v>
      </c>
      <c r="H77" s="118">
        <f>SUM(I77:J77)</f>
        <v>408938.77999999997</v>
      </c>
      <c r="I77" s="125"/>
      <c r="J77" s="125">
        <f>408936.68+2.1</f>
        <v>408938.77999999997</v>
      </c>
      <c r="K77" s="113"/>
      <c r="L77" s="113"/>
      <c r="M77" s="113"/>
      <c r="N77" s="113"/>
    </row>
    <row r="78" spans="1:14" s="8" customFormat="1" ht="16.5" customHeight="1">
      <c r="A78" s="143" t="s">
        <v>298</v>
      </c>
      <c r="B78" s="115"/>
      <c r="C78" s="115">
        <v>211</v>
      </c>
      <c r="D78" s="116" t="s">
        <v>523</v>
      </c>
      <c r="E78" s="115">
        <v>111</v>
      </c>
      <c r="F78" s="115">
        <v>211</v>
      </c>
      <c r="G78" s="102" t="s">
        <v>532</v>
      </c>
      <c r="H78" s="118">
        <f>SUM(I78:M78)</f>
        <v>2128645.86</v>
      </c>
      <c r="I78" s="125"/>
      <c r="J78" s="125"/>
      <c r="K78" s="113"/>
      <c r="L78" s="113"/>
      <c r="M78" s="113">
        <f>'ФЭО СС'!J20</f>
        <v>2128645.86</v>
      </c>
      <c r="N78" s="113"/>
    </row>
    <row r="79" spans="1:14" s="8" customFormat="1" ht="16.5" customHeight="1">
      <c r="A79" s="143" t="s">
        <v>299</v>
      </c>
      <c r="B79" s="115"/>
      <c r="C79" s="115">
        <v>211</v>
      </c>
      <c r="D79" s="115"/>
      <c r="E79" s="115">
        <v>111</v>
      </c>
      <c r="F79" s="115">
        <v>211</v>
      </c>
      <c r="G79" s="122"/>
      <c r="H79" s="118"/>
      <c r="I79" s="125"/>
      <c r="J79" s="125"/>
      <c r="K79" s="113"/>
      <c r="L79" s="113"/>
      <c r="M79" s="113"/>
      <c r="N79" s="113"/>
    </row>
    <row r="80" spans="1:14" s="8" customFormat="1" ht="54" customHeight="1">
      <c r="A80" s="143" t="s">
        <v>300</v>
      </c>
      <c r="B80" s="115"/>
      <c r="C80" s="115">
        <v>266</v>
      </c>
      <c r="D80" s="115">
        <v>901480000</v>
      </c>
      <c r="E80" s="115">
        <v>112</v>
      </c>
      <c r="F80" s="115">
        <v>266</v>
      </c>
      <c r="G80" s="117" t="s">
        <v>525</v>
      </c>
      <c r="H80" s="179">
        <f>I80+J80+K80+L80+M80+N80</f>
        <v>100000</v>
      </c>
      <c r="I80" s="180"/>
      <c r="J80" s="180">
        <f>'ФЭО ИЦ'!J19</f>
        <v>100000</v>
      </c>
      <c r="K80" s="113"/>
      <c r="L80" s="113"/>
      <c r="M80" s="113"/>
      <c r="N80" s="113"/>
    </row>
    <row r="81" spans="1:14" s="8" customFormat="1" ht="54" customHeight="1">
      <c r="A81" s="143" t="s">
        <v>300</v>
      </c>
      <c r="B81" s="115"/>
      <c r="C81" s="115">
        <v>266</v>
      </c>
      <c r="D81" s="115">
        <v>901170000</v>
      </c>
      <c r="E81" s="115">
        <v>112</v>
      </c>
      <c r="F81" s="115">
        <v>266</v>
      </c>
      <c r="G81" s="117" t="s">
        <v>543</v>
      </c>
      <c r="H81" s="179">
        <f>I81+J81+K81+L81+M81+N81</f>
        <v>90000</v>
      </c>
      <c r="I81" s="180"/>
      <c r="J81" s="180">
        <f>'ФЭО ИЦ'!J20</f>
        <v>90000</v>
      </c>
      <c r="K81" s="113"/>
      <c r="L81" s="113"/>
      <c r="M81" s="113"/>
      <c r="N81" s="113"/>
    </row>
    <row r="82" spans="1:14" s="8" customFormat="1" ht="15.75" customHeight="1">
      <c r="A82" s="143" t="s">
        <v>301</v>
      </c>
      <c r="B82" s="115"/>
      <c r="C82" s="115">
        <v>213</v>
      </c>
      <c r="D82" s="116" t="s">
        <v>524</v>
      </c>
      <c r="E82" s="115">
        <v>119</v>
      </c>
      <c r="F82" s="115">
        <v>213</v>
      </c>
      <c r="G82" s="102" t="s">
        <v>525</v>
      </c>
      <c r="H82" s="118">
        <f>I82+J82+K82+L82+M82+N82</f>
        <v>4928758.04</v>
      </c>
      <c r="I82" s="125">
        <f>'ФЭО МЗ'!G64</f>
        <v>4928758.04</v>
      </c>
      <c r="J82" s="125"/>
      <c r="K82" s="113"/>
      <c r="L82" s="113"/>
      <c r="M82" s="113"/>
      <c r="N82" s="113"/>
    </row>
    <row r="83" spans="1:14" s="8" customFormat="1" ht="15.75" customHeight="1">
      <c r="A83" s="143" t="s">
        <v>301</v>
      </c>
      <c r="B83" s="115"/>
      <c r="C83" s="115">
        <v>213</v>
      </c>
      <c r="D83" s="115">
        <v>901480000</v>
      </c>
      <c r="E83" s="115">
        <v>119</v>
      </c>
      <c r="F83" s="115">
        <v>213</v>
      </c>
      <c r="G83" s="102" t="s">
        <v>525</v>
      </c>
      <c r="H83" s="118">
        <f>SUM(I83:J83)</f>
        <v>390087.28</v>
      </c>
      <c r="I83" s="125"/>
      <c r="J83" s="125">
        <v>390087.28</v>
      </c>
      <c r="K83" s="113"/>
      <c r="L83" s="113"/>
      <c r="M83" s="113"/>
      <c r="N83" s="113"/>
    </row>
    <row r="84" spans="1:14" s="8" customFormat="1" ht="15.75" customHeight="1">
      <c r="A84" s="143" t="s">
        <v>301</v>
      </c>
      <c r="B84" s="115"/>
      <c r="C84" s="115">
        <v>213</v>
      </c>
      <c r="D84" s="115">
        <v>901160000</v>
      </c>
      <c r="E84" s="115">
        <v>119</v>
      </c>
      <c r="F84" s="115">
        <v>213</v>
      </c>
      <c r="G84" s="102" t="s">
        <v>525</v>
      </c>
      <c r="H84" s="118">
        <f>SUM(I84:J84)</f>
        <v>220270.73</v>
      </c>
      <c r="I84" s="125"/>
      <c r="J84" s="125">
        <v>220270.73</v>
      </c>
      <c r="K84" s="113"/>
      <c r="L84" s="113"/>
      <c r="M84" s="113"/>
      <c r="N84" s="113"/>
    </row>
    <row r="85" spans="1:14" s="8" customFormat="1" ht="15.75" customHeight="1">
      <c r="A85" s="143" t="s">
        <v>301</v>
      </c>
      <c r="B85" s="115"/>
      <c r="C85" s="115">
        <v>213</v>
      </c>
      <c r="D85" s="115">
        <v>901830000</v>
      </c>
      <c r="E85" s="115">
        <v>119</v>
      </c>
      <c r="F85" s="115">
        <v>213</v>
      </c>
      <c r="G85" s="102" t="s">
        <v>525</v>
      </c>
      <c r="H85" s="118">
        <f>SUM(I85:J85)</f>
        <v>123496.78</v>
      </c>
      <c r="I85" s="125"/>
      <c r="J85" s="125">
        <f>123498.88-2.1</f>
        <v>123496.78</v>
      </c>
      <c r="K85" s="113"/>
      <c r="L85" s="113"/>
      <c r="M85" s="113"/>
      <c r="N85" s="113"/>
    </row>
    <row r="86" spans="1:14" s="8" customFormat="1" ht="15.75" customHeight="1">
      <c r="A86" s="143" t="s">
        <v>301</v>
      </c>
      <c r="B86" s="115"/>
      <c r="C86" s="115">
        <v>213</v>
      </c>
      <c r="D86" s="116" t="s">
        <v>523</v>
      </c>
      <c r="E86" s="115">
        <v>119</v>
      </c>
      <c r="F86" s="115">
        <v>213</v>
      </c>
      <c r="G86" s="102" t="s">
        <v>532</v>
      </c>
      <c r="H86" s="118">
        <f>SUM(I86:M86)</f>
        <v>642847.4000000001</v>
      </c>
      <c r="I86" s="125"/>
      <c r="J86" s="125"/>
      <c r="K86" s="113"/>
      <c r="L86" s="113"/>
      <c r="M86" s="113">
        <f>'ФЭО СС'!F58</f>
        <v>642847.4000000001</v>
      </c>
      <c r="N86" s="113"/>
    </row>
    <row r="87" spans="1:14" s="162" customFormat="1" ht="23.25" customHeight="1">
      <c r="A87" s="157" t="s">
        <v>399</v>
      </c>
      <c r="B87" s="158">
        <v>220</v>
      </c>
      <c r="C87" s="158"/>
      <c r="D87" s="158"/>
      <c r="E87" s="158"/>
      <c r="F87" s="158"/>
      <c r="G87" s="158"/>
      <c r="H87" s="163">
        <f>SUM(I87:M87)</f>
        <v>1427958</v>
      </c>
      <c r="I87" s="164">
        <f aca="true" t="shared" si="5" ref="I87:N87">I89+I92+I93+I94+I95</f>
        <v>0</v>
      </c>
      <c r="J87" s="164">
        <f>SUM(J89:J93)</f>
        <v>1427958</v>
      </c>
      <c r="K87" s="164">
        <f t="shared" si="5"/>
        <v>0</v>
      </c>
      <c r="L87" s="164">
        <f t="shared" si="5"/>
        <v>0</v>
      </c>
      <c r="M87" s="164">
        <f t="shared" si="5"/>
        <v>0</v>
      </c>
      <c r="N87" s="164">
        <f t="shared" si="5"/>
        <v>0</v>
      </c>
    </row>
    <row r="88" spans="1:14" s="8" customFormat="1" ht="13.5" customHeight="1">
      <c r="A88" s="143" t="s">
        <v>3</v>
      </c>
      <c r="B88" s="115"/>
      <c r="C88" s="115"/>
      <c r="D88" s="115"/>
      <c r="E88" s="115"/>
      <c r="F88" s="115"/>
      <c r="G88" s="122"/>
      <c r="H88" s="118"/>
      <c r="I88" s="125"/>
      <c r="J88" s="125"/>
      <c r="K88" s="113"/>
      <c r="L88" s="113"/>
      <c r="M88" s="113"/>
      <c r="N88" s="113"/>
    </row>
    <row r="89" spans="1:14" s="8" customFormat="1" ht="39" customHeight="1">
      <c r="A89" s="144" t="s">
        <v>302</v>
      </c>
      <c r="B89" s="145"/>
      <c r="C89" s="146">
        <v>263</v>
      </c>
      <c r="D89" s="115">
        <v>901140000</v>
      </c>
      <c r="E89" s="115">
        <v>323</v>
      </c>
      <c r="F89" s="146">
        <v>263</v>
      </c>
      <c r="G89" s="117" t="s">
        <v>525</v>
      </c>
      <c r="H89" s="118">
        <f aca="true" t="shared" si="6" ref="H89:H95">I89+J89+K89+L89+M89+N89</f>
        <v>124511</v>
      </c>
      <c r="I89" s="125"/>
      <c r="J89" s="125">
        <v>124511</v>
      </c>
      <c r="K89" s="113"/>
      <c r="L89" s="113"/>
      <c r="M89" s="113"/>
      <c r="N89" s="113"/>
    </row>
    <row r="90" spans="1:14" s="8" customFormat="1" ht="39" customHeight="1">
      <c r="A90" s="144" t="s">
        <v>302</v>
      </c>
      <c r="B90" s="145"/>
      <c r="C90" s="146">
        <v>263</v>
      </c>
      <c r="D90" s="115">
        <v>901150000</v>
      </c>
      <c r="E90" s="115">
        <v>323</v>
      </c>
      <c r="F90" s="146">
        <v>263</v>
      </c>
      <c r="G90" s="117" t="s">
        <v>525</v>
      </c>
      <c r="H90" s="118">
        <f t="shared" si="6"/>
        <v>396173</v>
      </c>
      <c r="I90" s="125"/>
      <c r="J90" s="125">
        <v>396173</v>
      </c>
      <c r="K90" s="113"/>
      <c r="L90" s="113"/>
      <c r="M90" s="113"/>
      <c r="N90" s="113"/>
    </row>
    <row r="91" spans="1:14" s="8" customFormat="1" ht="39" customHeight="1">
      <c r="A91" s="144" t="s">
        <v>302</v>
      </c>
      <c r="B91" s="145"/>
      <c r="C91" s="146">
        <v>263</v>
      </c>
      <c r="D91" s="115">
        <v>901210000</v>
      </c>
      <c r="E91" s="148">
        <v>323</v>
      </c>
      <c r="F91" s="146">
        <v>263</v>
      </c>
      <c r="G91" s="117" t="s">
        <v>520</v>
      </c>
      <c r="H91" s="118">
        <f t="shared" si="6"/>
        <v>876777</v>
      </c>
      <c r="I91" s="125"/>
      <c r="J91" s="125">
        <v>876777</v>
      </c>
      <c r="K91" s="113"/>
      <c r="L91" s="113"/>
      <c r="M91" s="113"/>
      <c r="N91" s="113"/>
    </row>
    <row r="92" spans="1:14" s="8" customFormat="1" ht="32.25" customHeight="1">
      <c r="A92" s="137" t="s">
        <v>39</v>
      </c>
      <c r="B92" s="115"/>
      <c r="C92" s="115">
        <v>262</v>
      </c>
      <c r="D92" s="115">
        <v>901140000</v>
      </c>
      <c r="E92" s="115">
        <v>321</v>
      </c>
      <c r="F92" s="115">
        <v>262</v>
      </c>
      <c r="G92" s="147" t="s">
        <v>525</v>
      </c>
      <c r="H92" s="118">
        <f t="shared" si="6"/>
        <v>30497</v>
      </c>
      <c r="I92" s="125"/>
      <c r="J92" s="125">
        <v>30497</v>
      </c>
      <c r="K92" s="113"/>
      <c r="L92" s="113"/>
      <c r="M92" s="113"/>
      <c r="N92" s="113"/>
    </row>
    <row r="93" spans="1:14" s="8" customFormat="1" ht="15.75" customHeight="1">
      <c r="A93" s="137" t="s">
        <v>303</v>
      </c>
      <c r="B93" s="115"/>
      <c r="C93" s="115"/>
      <c r="D93" s="115"/>
      <c r="E93" s="115"/>
      <c r="F93" s="115"/>
      <c r="G93" s="122"/>
      <c r="H93" s="118">
        <f t="shared" si="6"/>
        <v>0</v>
      </c>
      <c r="I93" s="125"/>
      <c r="J93" s="125"/>
      <c r="K93" s="113"/>
      <c r="L93" s="113"/>
      <c r="M93" s="113"/>
      <c r="N93" s="113"/>
    </row>
    <row r="94" spans="1:14" s="8" customFormat="1" ht="15.75" customHeight="1">
      <c r="A94" s="137" t="s">
        <v>304</v>
      </c>
      <c r="B94" s="115"/>
      <c r="C94" s="115">
        <v>290</v>
      </c>
      <c r="D94" s="115"/>
      <c r="E94" s="115">
        <v>350</v>
      </c>
      <c r="F94" s="115">
        <v>290</v>
      </c>
      <c r="G94" s="122"/>
      <c r="H94" s="118">
        <f t="shared" si="6"/>
        <v>0</v>
      </c>
      <c r="I94" s="125"/>
      <c r="J94" s="125"/>
      <c r="K94" s="113"/>
      <c r="L94" s="113"/>
      <c r="M94" s="113"/>
      <c r="N94" s="113"/>
    </row>
    <row r="95" spans="1:14" s="8" customFormat="1" ht="15.75" customHeight="1">
      <c r="A95" s="137" t="s">
        <v>305</v>
      </c>
      <c r="B95" s="115"/>
      <c r="C95" s="115"/>
      <c r="D95" s="115"/>
      <c r="E95" s="115"/>
      <c r="F95" s="115"/>
      <c r="G95" s="122"/>
      <c r="H95" s="118">
        <f t="shared" si="6"/>
        <v>0</v>
      </c>
      <c r="I95" s="125"/>
      <c r="J95" s="125"/>
      <c r="K95" s="113"/>
      <c r="L95" s="113"/>
      <c r="M95" s="113"/>
      <c r="N95" s="113"/>
    </row>
    <row r="96" spans="1:14" s="162" customFormat="1" ht="21.75" customHeight="1">
      <c r="A96" s="165" t="s">
        <v>306</v>
      </c>
      <c r="B96" s="158">
        <v>230</v>
      </c>
      <c r="C96" s="158"/>
      <c r="D96" s="158"/>
      <c r="E96" s="158"/>
      <c r="F96" s="158"/>
      <c r="G96" s="159"/>
      <c r="H96" s="160">
        <f>H97</f>
        <v>3275431</v>
      </c>
      <c r="I96" s="160">
        <f>I97</f>
        <v>2959713</v>
      </c>
      <c r="J96" s="160">
        <f>J97</f>
        <v>0</v>
      </c>
      <c r="K96" s="161">
        <f>K97+K100</f>
        <v>0</v>
      </c>
      <c r="L96" s="161">
        <f>L97+L100</f>
        <v>0</v>
      </c>
      <c r="M96" s="160">
        <f>M97</f>
        <v>315718</v>
      </c>
      <c r="N96" s="160">
        <f>N97</f>
        <v>0</v>
      </c>
    </row>
    <row r="97" spans="1:14" s="8" customFormat="1" ht="15.75" customHeight="1">
      <c r="A97" s="143" t="s">
        <v>3</v>
      </c>
      <c r="B97" s="115"/>
      <c r="C97" s="115"/>
      <c r="D97" s="115"/>
      <c r="E97" s="115"/>
      <c r="F97" s="115"/>
      <c r="G97" s="122"/>
      <c r="H97" s="118">
        <f>H98+H99</f>
        <v>3275431</v>
      </c>
      <c r="I97" s="125">
        <f aca="true" t="shared" si="7" ref="I97:N97">I98+I99</f>
        <v>2959713</v>
      </c>
      <c r="J97" s="125">
        <f t="shared" si="7"/>
        <v>0</v>
      </c>
      <c r="K97" s="125">
        <f t="shared" si="7"/>
        <v>0</v>
      </c>
      <c r="L97" s="125">
        <f t="shared" si="7"/>
        <v>0</v>
      </c>
      <c r="M97" s="125">
        <f>M98+M99</f>
        <v>315718</v>
      </c>
      <c r="N97" s="125">
        <f t="shared" si="7"/>
        <v>0</v>
      </c>
    </row>
    <row r="98" spans="1:14" s="8" customFormat="1" ht="15.75" customHeight="1">
      <c r="A98" s="143" t="s">
        <v>307</v>
      </c>
      <c r="B98" s="115"/>
      <c r="C98" s="115">
        <v>290</v>
      </c>
      <c r="D98" s="115"/>
      <c r="E98" s="115">
        <v>831</v>
      </c>
      <c r="F98" s="115">
        <v>290</v>
      </c>
      <c r="G98" s="122"/>
      <c r="H98" s="118">
        <f>I98+J98+K98+L98+M98+N98</f>
        <v>0</v>
      </c>
      <c r="I98" s="125"/>
      <c r="J98" s="125"/>
      <c r="K98" s="113"/>
      <c r="L98" s="113"/>
      <c r="M98" s="113"/>
      <c r="N98" s="113"/>
    </row>
    <row r="99" spans="1:14" s="8" customFormat="1" ht="15.75" customHeight="1">
      <c r="A99" s="143" t="s">
        <v>308</v>
      </c>
      <c r="B99" s="115"/>
      <c r="C99" s="115">
        <v>290</v>
      </c>
      <c r="D99" s="115"/>
      <c r="E99" s="115">
        <v>850</v>
      </c>
      <c r="F99" s="115">
        <v>290</v>
      </c>
      <c r="G99" s="122"/>
      <c r="H99" s="118">
        <f>SUM(H101:H109)</f>
        <v>3275431</v>
      </c>
      <c r="I99" s="118">
        <f>SUM(I101:I109)</f>
        <v>2959713</v>
      </c>
      <c r="J99" s="125"/>
      <c r="K99" s="113"/>
      <c r="L99" s="113"/>
      <c r="M99" s="118">
        <f>SUM(M101:M109)</f>
        <v>315718</v>
      </c>
      <c r="N99" s="113"/>
    </row>
    <row r="100" spans="1:14" s="8" customFormat="1" ht="15.75" customHeight="1">
      <c r="A100" s="143" t="s">
        <v>4</v>
      </c>
      <c r="B100" s="115"/>
      <c r="C100" s="115"/>
      <c r="D100" s="115"/>
      <c r="E100" s="115"/>
      <c r="F100" s="115"/>
      <c r="G100" s="122"/>
      <c r="H100" s="118"/>
      <c r="I100" s="125"/>
      <c r="J100" s="125"/>
      <c r="K100" s="125">
        <f>K101+K103+K104+K105+K106+K107+K108+K109</f>
        <v>0</v>
      </c>
      <c r="L100" s="125">
        <f>L101+L103+L104+L105+L106+L107+L108+L109</f>
        <v>0</v>
      </c>
      <c r="M100" s="125"/>
      <c r="N100" s="125"/>
    </row>
    <row r="101" spans="1:14" s="8" customFormat="1" ht="26.25" customHeight="1">
      <c r="A101" s="143" t="s">
        <v>309</v>
      </c>
      <c r="B101" s="115"/>
      <c r="C101" s="115">
        <v>291</v>
      </c>
      <c r="D101" s="116" t="s">
        <v>524</v>
      </c>
      <c r="E101" s="115">
        <v>851</v>
      </c>
      <c r="F101" s="115">
        <v>291</v>
      </c>
      <c r="G101" s="117" t="s">
        <v>516</v>
      </c>
      <c r="H101" s="118">
        <f>I101+J101+K101+L101+M101+N101</f>
        <v>2959713</v>
      </c>
      <c r="I101" s="125">
        <f>'ФЭО МЗ'!H98</f>
        <v>2959713</v>
      </c>
      <c r="J101" s="125"/>
      <c r="K101" s="113"/>
      <c r="L101" s="113"/>
      <c r="M101" s="113">
        <v>0</v>
      </c>
      <c r="N101" s="113"/>
    </row>
    <row r="102" spans="1:14" s="8" customFormat="1" ht="26.25" customHeight="1">
      <c r="A102" s="143" t="s">
        <v>309</v>
      </c>
      <c r="B102" s="115"/>
      <c r="C102" s="115">
        <v>291</v>
      </c>
      <c r="D102" s="116" t="s">
        <v>523</v>
      </c>
      <c r="E102" s="115">
        <v>851</v>
      </c>
      <c r="F102" s="115">
        <v>291</v>
      </c>
      <c r="G102" s="117" t="s">
        <v>532</v>
      </c>
      <c r="H102" s="118">
        <f>I102+J102+K102+L102+M102+N102</f>
        <v>292718</v>
      </c>
      <c r="I102" s="125">
        <v>0</v>
      </c>
      <c r="J102" s="125"/>
      <c r="K102" s="113"/>
      <c r="L102" s="113"/>
      <c r="M102" s="113">
        <f>'ФЭО СС'!G86</f>
        <v>292718</v>
      </c>
      <c r="N102" s="113"/>
    </row>
    <row r="103" spans="1:15" s="8" customFormat="1" ht="15" customHeight="1">
      <c r="A103" s="143" t="s">
        <v>357</v>
      </c>
      <c r="B103" s="115"/>
      <c r="C103" s="115">
        <v>291</v>
      </c>
      <c r="D103" s="115"/>
      <c r="E103" s="115">
        <v>852</v>
      </c>
      <c r="F103" s="115">
        <v>291</v>
      </c>
      <c r="G103" s="122"/>
      <c r="H103" s="118">
        <f aca="true" t="shared" si="8" ref="H103:H110">I103+J103+K103+L103+M103+N103</f>
        <v>0</v>
      </c>
      <c r="I103" s="125"/>
      <c r="J103" s="125"/>
      <c r="K103" s="113"/>
      <c r="L103" s="113"/>
      <c r="M103" s="113"/>
      <c r="N103" s="113"/>
      <c r="O103" s="8" t="s">
        <v>378</v>
      </c>
    </row>
    <row r="104" spans="1:15" s="8" customFormat="1" ht="15" customHeight="1">
      <c r="A104" s="143" t="s">
        <v>310</v>
      </c>
      <c r="B104" s="115"/>
      <c r="C104" s="115">
        <v>291</v>
      </c>
      <c r="D104" s="115"/>
      <c r="E104" s="115">
        <v>853</v>
      </c>
      <c r="F104" s="115">
        <v>291</v>
      </c>
      <c r="G104" s="122"/>
      <c r="H104" s="118">
        <f t="shared" si="8"/>
        <v>0</v>
      </c>
      <c r="I104" s="125"/>
      <c r="J104" s="125"/>
      <c r="K104" s="113"/>
      <c r="L104" s="113"/>
      <c r="M104" s="113"/>
      <c r="N104" s="113"/>
      <c r="O104" s="8" t="s">
        <v>379</v>
      </c>
    </row>
    <row r="105" spans="1:14" s="8" customFormat="1" ht="39.75" customHeight="1">
      <c r="A105" s="143" t="s">
        <v>358</v>
      </c>
      <c r="B105" s="115"/>
      <c r="C105" s="115">
        <v>292</v>
      </c>
      <c r="D105" s="116" t="s">
        <v>523</v>
      </c>
      <c r="E105" s="115">
        <v>853</v>
      </c>
      <c r="F105" s="115">
        <v>292</v>
      </c>
      <c r="G105" s="117" t="s">
        <v>535</v>
      </c>
      <c r="H105" s="118">
        <f t="shared" si="8"/>
        <v>3000</v>
      </c>
      <c r="I105" s="125"/>
      <c r="J105" s="125"/>
      <c r="K105" s="113"/>
      <c r="L105" s="113"/>
      <c r="M105" s="113">
        <f>'ФЭО СС'!G89</f>
        <v>3000</v>
      </c>
      <c r="N105" s="113"/>
    </row>
    <row r="106" spans="1:14" s="8" customFormat="1" ht="31.5" customHeight="1">
      <c r="A106" s="143" t="s">
        <v>359</v>
      </c>
      <c r="B106" s="115"/>
      <c r="C106" s="115">
        <v>293</v>
      </c>
      <c r="D106" s="115"/>
      <c r="E106" s="115">
        <v>853</v>
      </c>
      <c r="F106" s="115">
        <v>293</v>
      </c>
      <c r="G106" s="122"/>
      <c r="H106" s="118">
        <f t="shared" si="8"/>
        <v>0</v>
      </c>
      <c r="I106" s="125"/>
      <c r="J106" s="125"/>
      <c r="K106" s="113"/>
      <c r="L106" s="113"/>
      <c r="M106" s="113"/>
      <c r="N106" s="113"/>
    </row>
    <row r="107" spans="1:14" s="8" customFormat="1" ht="26.25" customHeight="1">
      <c r="A107" s="143" t="s">
        <v>360</v>
      </c>
      <c r="B107" s="115"/>
      <c r="C107" s="115">
        <v>294</v>
      </c>
      <c r="D107" s="115"/>
      <c r="E107" s="115">
        <v>853</v>
      </c>
      <c r="F107" s="115">
        <v>294</v>
      </c>
      <c r="G107" s="122"/>
      <c r="H107" s="118">
        <f t="shared" si="8"/>
        <v>0</v>
      </c>
      <c r="I107" s="125"/>
      <c r="J107" s="125"/>
      <c r="K107" s="113"/>
      <c r="L107" s="113"/>
      <c r="M107" s="113"/>
      <c r="N107" s="113"/>
    </row>
    <row r="108" spans="1:14" s="8" customFormat="1" ht="20.25" customHeight="1">
      <c r="A108" s="143" t="s">
        <v>361</v>
      </c>
      <c r="B108" s="115"/>
      <c r="C108" s="115">
        <v>295</v>
      </c>
      <c r="D108" s="115"/>
      <c r="E108" s="115">
        <v>853</v>
      </c>
      <c r="F108" s="115">
        <v>295</v>
      </c>
      <c r="G108" s="122"/>
      <c r="H108" s="118">
        <f t="shared" si="8"/>
        <v>0</v>
      </c>
      <c r="I108" s="125"/>
      <c r="J108" s="125"/>
      <c r="K108" s="113"/>
      <c r="L108" s="113"/>
      <c r="M108" s="113"/>
      <c r="N108" s="113"/>
    </row>
    <row r="109" spans="1:14" s="8" customFormat="1" ht="16.5" customHeight="1">
      <c r="A109" s="143" t="s">
        <v>362</v>
      </c>
      <c r="B109" s="115"/>
      <c r="C109" s="115">
        <v>297</v>
      </c>
      <c r="D109" s="115"/>
      <c r="E109" s="115">
        <v>853</v>
      </c>
      <c r="F109" s="115">
        <v>297</v>
      </c>
      <c r="G109" s="122"/>
      <c r="H109" s="118">
        <f t="shared" si="8"/>
        <v>20000</v>
      </c>
      <c r="I109" s="125"/>
      <c r="J109" s="125"/>
      <c r="K109" s="113"/>
      <c r="L109" s="113"/>
      <c r="M109" s="113">
        <f>'ФЭО СС'!G90</f>
        <v>20000</v>
      </c>
      <c r="N109" s="113"/>
    </row>
    <row r="110" spans="1:14" s="8" customFormat="1" ht="20.25" customHeight="1">
      <c r="A110" s="143" t="s">
        <v>311</v>
      </c>
      <c r="B110" s="115">
        <v>240</v>
      </c>
      <c r="C110" s="115"/>
      <c r="D110" s="115"/>
      <c r="E110" s="115"/>
      <c r="F110" s="115"/>
      <c r="G110" s="122"/>
      <c r="H110" s="118">
        <f t="shared" si="8"/>
        <v>0</v>
      </c>
      <c r="I110" s="125"/>
      <c r="J110" s="125"/>
      <c r="K110" s="113"/>
      <c r="L110" s="113"/>
      <c r="M110" s="113"/>
      <c r="N110" s="113"/>
    </row>
    <row r="111" spans="1:14" s="8" customFormat="1" ht="28.5" customHeight="1">
      <c r="A111" s="137" t="s">
        <v>312</v>
      </c>
      <c r="B111" s="115">
        <v>250</v>
      </c>
      <c r="C111" s="115"/>
      <c r="D111" s="115"/>
      <c r="E111" s="115"/>
      <c r="F111" s="115"/>
      <c r="G111" s="122"/>
      <c r="H111" s="118">
        <f>H113+H114</f>
        <v>0</v>
      </c>
      <c r="I111" s="125">
        <f aca="true" t="shared" si="9" ref="I111:N111">I113+I114</f>
        <v>0</v>
      </c>
      <c r="J111" s="125">
        <f t="shared" si="9"/>
        <v>0</v>
      </c>
      <c r="K111" s="125">
        <f t="shared" si="9"/>
        <v>0</v>
      </c>
      <c r="L111" s="125">
        <f t="shared" si="9"/>
        <v>0</v>
      </c>
      <c r="M111" s="125">
        <f t="shared" si="9"/>
        <v>0</v>
      </c>
      <c r="N111" s="125">
        <f t="shared" si="9"/>
        <v>0</v>
      </c>
    </row>
    <row r="112" spans="1:14" s="8" customFormat="1" ht="14.25" customHeight="1">
      <c r="A112" s="143" t="s">
        <v>4</v>
      </c>
      <c r="B112" s="115"/>
      <c r="C112" s="115"/>
      <c r="D112" s="115"/>
      <c r="E112" s="115"/>
      <c r="F112" s="115"/>
      <c r="G112" s="122"/>
      <c r="H112" s="118"/>
      <c r="I112" s="125"/>
      <c r="J112" s="125"/>
      <c r="K112" s="113"/>
      <c r="L112" s="113"/>
      <c r="M112" s="113"/>
      <c r="N112" s="113"/>
    </row>
    <row r="113" spans="1:14" s="8" customFormat="1" ht="29.25" customHeight="1">
      <c r="A113" s="137" t="s">
        <v>313</v>
      </c>
      <c r="B113" s="115"/>
      <c r="C113" s="115"/>
      <c r="D113" s="115"/>
      <c r="E113" s="115"/>
      <c r="F113" s="115"/>
      <c r="G113" s="122"/>
      <c r="H113" s="118">
        <f>I113+J113+K113+L113+M113+N113</f>
        <v>0</v>
      </c>
      <c r="I113" s="125"/>
      <c r="J113" s="125"/>
      <c r="K113" s="113"/>
      <c r="L113" s="113"/>
      <c r="M113" s="113"/>
      <c r="N113" s="113"/>
    </row>
    <row r="114" spans="1:14" s="8" customFormat="1" ht="34.5" customHeight="1">
      <c r="A114" s="143" t="s">
        <v>314</v>
      </c>
      <c r="B114" s="115"/>
      <c r="C114" s="115"/>
      <c r="D114" s="115"/>
      <c r="E114" s="115"/>
      <c r="F114" s="115"/>
      <c r="G114" s="122"/>
      <c r="H114" s="118">
        <f>I114+J114+K114+L114+M114+N114</f>
        <v>0</v>
      </c>
      <c r="I114" s="125"/>
      <c r="J114" s="125"/>
      <c r="K114" s="125"/>
      <c r="L114" s="125"/>
      <c r="M114" s="125"/>
      <c r="N114" s="113"/>
    </row>
    <row r="115" spans="1:14" s="162" customFormat="1" ht="21" customHeight="1">
      <c r="A115" s="157" t="s">
        <v>315</v>
      </c>
      <c r="B115" s="158">
        <v>260</v>
      </c>
      <c r="C115" s="158"/>
      <c r="D115" s="158"/>
      <c r="E115" s="158"/>
      <c r="F115" s="158"/>
      <c r="G115" s="159"/>
      <c r="H115" s="160">
        <f>I115+J115+M115</f>
        <v>8999522.45</v>
      </c>
      <c r="I115" s="161">
        <f>I117+I120+I121+I130+I131+I132+I134+I137+I138+I135+I144+I145+I152+I118</f>
        <v>5345150.67</v>
      </c>
      <c r="J115" s="161">
        <f>J117+J120+J121+J130+J131+J134+J137+J138+J144+J145+J152</f>
        <v>0</v>
      </c>
      <c r="K115" s="161">
        <f>K117+K120+K121+K130+K131+K134+K137+K138+K144+K145+K152</f>
        <v>0</v>
      </c>
      <c r="L115" s="161">
        <f>L117+L120+L121+L130+L131+L134+L137+L138+L144+L145+L152</f>
        <v>0</v>
      </c>
      <c r="M115" s="161">
        <f>M117+M120+M121+M130+M131+M134+M137+M138+M144+M145+M152+M119+M133+M151+M136</f>
        <v>3654371.7800000003</v>
      </c>
      <c r="N115" s="161">
        <f>N117+N120+N121+N130+N131+N134+N137+N138+N144+N145+N152</f>
        <v>0</v>
      </c>
    </row>
    <row r="116" spans="1:14" s="41" customFormat="1" ht="15.75" customHeight="1">
      <c r="A116" s="143" t="s">
        <v>4</v>
      </c>
      <c r="B116" s="149"/>
      <c r="C116" s="115"/>
      <c r="D116" s="149"/>
      <c r="E116" s="149"/>
      <c r="F116" s="115"/>
      <c r="G116" s="122"/>
      <c r="H116" s="118"/>
      <c r="I116" s="118"/>
      <c r="J116" s="118"/>
      <c r="K116" s="118"/>
      <c r="L116" s="118"/>
      <c r="M116" s="118"/>
      <c r="N116" s="118"/>
    </row>
    <row r="117" spans="1:14" s="8" customFormat="1" ht="16.5" customHeight="1">
      <c r="A117" s="143" t="s">
        <v>316</v>
      </c>
      <c r="B117" s="115"/>
      <c r="C117" s="115">
        <v>221</v>
      </c>
      <c r="D117" s="116" t="s">
        <v>524</v>
      </c>
      <c r="E117" s="115">
        <v>244</v>
      </c>
      <c r="F117" s="115">
        <v>221</v>
      </c>
      <c r="G117" s="102" t="s">
        <v>533</v>
      </c>
      <c r="H117" s="118">
        <f>I117+J117+M117</f>
        <v>72000</v>
      </c>
      <c r="I117" s="125">
        <f>'ФЭО МЗ'!G145</f>
        <v>72000</v>
      </c>
      <c r="J117" s="125"/>
      <c r="K117" s="113"/>
      <c r="L117" s="113"/>
      <c r="M117" s="113"/>
      <c r="N117" s="113"/>
    </row>
    <row r="118" spans="1:14" s="8" customFormat="1" ht="16.5" customHeight="1">
      <c r="A118" s="143" t="s">
        <v>316</v>
      </c>
      <c r="B118" s="115"/>
      <c r="C118" s="115">
        <v>221</v>
      </c>
      <c r="D118" s="116" t="s">
        <v>524</v>
      </c>
      <c r="E118" s="115">
        <v>244</v>
      </c>
      <c r="F118" s="115">
        <v>221</v>
      </c>
      <c r="G118" s="102" t="s">
        <v>534</v>
      </c>
      <c r="H118" s="118">
        <f>I118+J118+M118</f>
        <v>32000.100000000002</v>
      </c>
      <c r="I118" s="125">
        <f>'ФЭО МЗ'!H145</f>
        <v>32000.100000000002</v>
      </c>
      <c r="J118" s="125"/>
      <c r="K118" s="113"/>
      <c r="L118" s="113"/>
      <c r="M118" s="113"/>
      <c r="N118" s="113"/>
    </row>
    <row r="119" spans="1:14" s="8" customFormat="1" ht="16.5" customHeight="1">
      <c r="A119" s="143" t="s">
        <v>316</v>
      </c>
      <c r="B119" s="115"/>
      <c r="C119" s="115">
        <v>221</v>
      </c>
      <c r="D119" s="116" t="s">
        <v>523</v>
      </c>
      <c r="E119" s="115">
        <v>244</v>
      </c>
      <c r="F119" s="115">
        <v>221</v>
      </c>
      <c r="G119" s="102" t="s">
        <v>535</v>
      </c>
      <c r="H119" s="118">
        <f>I119+J119+M119</f>
        <v>3500</v>
      </c>
      <c r="I119" s="125">
        <v>0</v>
      </c>
      <c r="J119" s="125"/>
      <c r="K119" s="113"/>
      <c r="L119" s="113"/>
      <c r="M119" s="113">
        <f>'ФЭО СС'!F139</f>
        <v>3500</v>
      </c>
      <c r="N119" s="113"/>
    </row>
    <row r="120" spans="1:14" s="8" customFormat="1" ht="15.75" customHeight="1">
      <c r="A120" s="143" t="s">
        <v>317</v>
      </c>
      <c r="B120" s="115"/>
      <c r="C120" s="115">
        <v>222</v>
      </c>
      <c r="D120" s="116" t="s">
        <v>523</v>
      </c>
      <c r="E120" s="115">
        <v>244</v>
      </c>
      <c r="F120" s="115">
        <v>222</v>
      </c>
      <c r="G120" s="102" t="s">
        <v>535</v>
      </c>
      <c r="H120" s="118">
        <f>I120+J120+K120+L120+M120+N120</f>
        <v>11000</v>
      </c>
      <c r="I120" s="125"/>
      <c r="J120" s="125"/>
      <c r="K120" s="113"/>
      <c r="L120" s="113"/>
      <c r="M120" s="113">
        <f>'ФЭО СС'!E150</f>
        <v>11000</v>
      </c>
      <c r="N120" s="113"/>
    </row>
    <row r="121" spans="1:14" s="162" customFormat="1" ht="14.25" customHeight="1">
      <c r="A121" s="157" t="s">
        <v>318</v>
      </c>
      <c r="B121" s="158"/>
      <c r="C121" s="158">
        <v>223</v>
      </c>
      <c r="D121" s="158"/>
      <c r="E121" s="158">
        <v>244</v>
      </c>
      <c r="F121" s="158">
        <v>223</v>
      </c>
      <c r="G121" s="159"/>
      <c r="H121" s="160">
        <f>I121+J121+M121</f>
        <v>2022124.0099999998</v>
      </c>
      <c r="I121" s="161">
        <f aca="true" t="shared" si="10" ref="I121:N121">I123+I124+I125+I126</f>
        <v>1826922.5399999998</v>
      </c>
      <c r="J121" s="161">
        <f t="shared" si="10"/>
        <v>0</v>
      </c>
      <c r="K121" s="161">
        <f t="shared" si="10"/>
        <v>0</v>
      </c>
      <c r="L121" s="161">
        <f t="shared" si="10"/>
        <v>0</v>
      </c>
      <c r="M121" s="161">
        <f>SUM(M123:M129)</f>
        <v>195201.47</v>
      </c>
      <c r="N121" s="161">
        <f t="shared" si="10"/>
        <v>0</v>
      </c>
    </row>
    <row r="122" spans="1:14" s="8" customFormat="1" ht="12.75">
      <c r="A122" s="143" t="s">
        <v>4</v>
      </c>
      <c r="B122" s="115"/>
      <c r="C122" s="115"/>
      <c r="D122" s="115"/>
      <c r="E122" s="115"/>
      <c r="F122" s="115"/>
      <c r="G122" s="122"/>
      <c r="H122" s="118"/>
      <c r="I122" s="125"/>
      <c r="J122" s="125"/>
      <c r="K122" s="113"/>
      <c r="L122" s="113"/>
      <c r="M122" s="113"/>
      <c r="N122" s="113"/>
    </row>
    <row r="123" spans="1:14" s="8" customFormat="1" ht="15" customHeight="1">
      <c r="A123" s="143" t="s">
        <v>319</v>
      </c>
      <c r="B123" s="115"/>
      <c r="C123" s="115">
        <v>223</v>
      </c>
      <c r="D123" s="116" t="s">
        <v>524</v>
      </c>
      <c r="E123" s="115">
        <v>244</v>
      </c>
      <c r="F123" s="115">
        <v>223</v>
      </c>
      <c r="G123" s="102" t="s">
        <v>534</v>
      </c>
      <c r="H123" s="118">
        <f aca="true" t="shared" si="11" ref="H123:H138">I123+J123+K123+L123+M123+N123</f>
        <v>1231409.94</v>
      </c>
      <c r="I123" s="125">
        <f>'ФЭО МЗ'!H165</f>
        <v>1231409.94</v>
      </c>
      <c r="J123" s="125"/>
      <c r="K123" s="113"/>
      <c r="L123" s="113"/>
      <c r="M123" s="113">
        <v>0</v>
      </c>
      <c r="N123" s="113"/>
    </row>
    <row r="124" spans="1:14" s="8" customFormat="1" ht="15" customHeight="1">
      <c r="A124" s="143" t="s">
        <v>320</v>
      </c>
      <c r="B124" s="115"/>
      <c r="C124" s="115">
        <v>223</v>
      </c>
      <c r="D124" s="116" t="s">
        <v>524</v>
      </c>
      <c r="E124" s="115">
        <v>244</v>
      </c>
      <c r="F124" s="115">
        <v>223</v>
      </c>
      <c r="G124" s="102" t="s">
        <v>534</v>
      </c>
      <c r="H124" s="118">
        <f t="shared" si="11"/>
        <v>0</v>
      </c>
      <c r="I124" s="125">
        <v>0</v>
      </c>
      <c r="J124" s="125"/>
      <c r="K124" s="113"/>
      <c r="L124" s="113"/>
      <c r="M124" s="113"/>
      <c r="N124" s="113"/>
    </row>
    <row r="125" spans="1:14" s="8" customFormat="1" ht="15" customHeight="1">
      <c r="A125" s="143" t="s">
        <v>321</v>
      </c>
      <c r="B125" s="115"/>
      <c r="C125" s="115">
        <v>223</v>
      </c>
      <c r="D125" s="116" t="s">
        <v>524</v>
      </c>
      <c r="E125" s="115">
        <v>244</v>
      </c>
      <c r="F125" s="115">
        <v>223</v>
      </c>
      <c r="G125" s="102" t="s">
        <v>534</v>
      </c>
      <c r="H125" s="118">
        <f t="shared" si="11"/>
        <v>470359.68</v>
      </c>
      <c r="I125" s="125">
        <f>'ФЭО МЗ'!H166</f>
        <v>470359.68</v>
      </c>
      <c r="J125" s="125"/>
      <c r="K125" s="113"/>
      <c r="L125" s="113"/>
      <c r="M125" s="113"/>
      <c r="N125" s="113"/>
    </row>
    <row r="126" spans="1:14" s="8" customFormat="1" ht="15" customHeight="1">
      <c r="A126" s="143" t="s">
        <v>322</v>
      </c>
      <c r="B126" s="115"/>
      <c r="C126" s="115">
        <v>223</v>
      </c>
      <c r="D126" s="116" t="s">
        <v>524</v>
      </c>
      <c r="E126" s="115">
        <v>244</v>
      </c>
      <c r="F126" s="115">
        <v>223</v>
      </c>
      <c r="G126" s="102" t="s">
        <v>534</v>
      </c>
      <c r="H126" s="118">
        <f t="shared" si="11"/>
        <v>125152.92</v>
      </c>
      <c r="I126" s="125">
        <f>'ФЭО МЗ'!H167</f>
        <v>125152.92</v>
      </c>
      <c r="J126" s="125"/>
      <c r="K126" s="113"/>
      <c r="L126" s="113"/>
      <c r="M126" s="113"/>
      <c r="N126" s="113"/>
    </row>
    <row r="127" spans="1:14" s="8" customFormat="1" ht="15" customHeight="1">
      <c r="A127" s="143" t="s">
        <v>319</v>
      </c>
      <c r="B127" s="115"/>
      <c r="C127" s="115">
        <v>223</v>
      </c>
      <c r="D127" s="116" t="s">
        <v>523</v>
      </c>
      <c r="E127" s="115">
        <v>244</v>
      </c>
      <c r="F127" s="115">
        <v>223</v>
      </c>
      <c r="G127" s="102" t="s">
        <v>535</v>
      </c>
      <c r="H127" s="118">
        <f>I127+J127+K127+L127+M127+N127</f>
        <v>9301.35</v>
      </c>
      <c r="I127" s="125">
        <v>0</v>
      </c>
      <c r="J127" s="125"/>
      <c r="K127" s="113"/>
      <c r="L127" s="113"/>
      <c r="M127" s="113">
        <f>'ФЭО СС'!F159</f>
        <v>9301.35</v>
      </c>
      <c r="N127" s="113"/>
    </row>
    <row r="128" spans="1:14" s="8" customFormat="1" ht="15" customHeight="1">
      <c r="A128" s="143" t="s">
        <v>321</v>
      </c>
      <c r="B128" s="115"/>
      <c r="C128" s="115">
        <v>223</v>
      </c>
      <c r="D128" s="116" t="s">
        <v>523</v>
      </c>
      <c r="E128" s="115">
        <v>244</v>
      </c>
      <c r="F128" s="115">
        <v>223</v>
      </c>
      <c r="G128" s="102" t="s">
        <v>535</v>
      </c>
      <c r="H128" s="118">
        <f>I128+J128+K128+L128+M128+N128</f>
        <v>143362.88</v>
      </c>
      <c r="I128" s="125">
        <v>0</v>
      </c>
      <c r="J128" s="125"/>
      <c r="K128" s="113"/>
      <c r="L128" s="113"/>
      <c r="M128" s="113">
        <f>'ФЭО СС'!F160</f>
        <v>143362.88</v>
      </c>
      <c r="N128" s="113"/>
    </row>
    <row r="129" spans="1:14" s="8" customFormat="1" ht="15" customHeight="1">
      <c r="A129" s="143" t="s">
        <v>322</v>
      </c>
      <c r="B129" s="115"/>
      <c r="C129" s="115">
        <v>223</v>
      </c>
      <c r="D129" s="116" t="s">
        <v>523</v>
      </c>
      <c r="E129" s="115">
        <v>244</v>
      </c>
      <c r="F129" s="115">
        <v>223</v>
      </c>
      <c r="G129" s="102" t="s">
        <v>535</v>
      </c>
      <c r="H129" s="118">
        <f>I129+J129+K129+L129+M129+N129</f>
        <v>42537.24</v>
      </c>
      <c r="I129" s="125">
        <v>0</v>
      </c>
      <c r="J129" s="125"/>
      <c r="K129" s="113"/>
      <c r="L129" s="113"/>
      <c r="M129" s="113">
        <f>'ФЭО СС'!F161</f>
        <v>42537.24</v>
      </c>
      <c r="N129" s="113"/>
    </row>
    <row r="130" spans="1:14" s="8" customFormat="1" ht="15" customHeight="1">
      <c r="A130" s="143" t="s">
        <v>323</v>
      </c>
      <c r="B130" s="115"/>
      <c r="C130" s="115">
        <v>224</v>
      </c>
      <c r="D130" s="115"/>
      <c r="E130" s="115"/>
      <c r="F130" s="115">
        <v>224</v>
      </c>
      <c r="G130" s="122"/>
      <c r="H130" s="118">
        <f t="shared" si="11"/>
        <v>0</v>
      </c>
      <c r="I130" s="125">
        <v>0</v>
      </c>
      <c r="J130" s="125"/>
      <c r="K130" s="113"/>
      <c r="L130" s="113"/>
      <c r="M130" s="113"/>
      <c r="N130" s="113"/>
    </row>
    <row r="131" spans="1:14" s="8" customFormat="1" ht="15" customHeight="1">
      <c r="A131" s="143" t="s">
        <v>324</v>
      </c>
      <c r="B131" s="115"/>
      <c r="C131" s="115">
        <v>225</v>
      </c>
      <c r="D131" s="116" t="s">
        <v>524</v>
      </c>
      <c r="E131" s="115">
        <v>244</v>
      </c>
      <c r="F131" s="115">
        <v>225</v>
      </c>
      <c r="G131" s="102" t="s">
        <v>533</v>
      </c>
      <c r="H131" s="118">
        <f t="shared" si="11"/>
        <v>132945.86</v>
      </c>
      <c r="I131" s="125">
        <f>'ФЭО МЗ'!F200</f>
        <v>132945.86</v>
      </c>
      <c r="J131" s="125"/>
      <c r="K131" s="113"/>
      <c r="L131" s="113"/>
      <c r="M131" s="113"/>
      <c r="N131" s="113"/>
    </row>
    <row r="132" spans="1:14" s="8" customFormat="1" ht="15" customHeight="1">
      <c r="A132" s="143" t="s">
        <v>324</v>
      </c>
      <c r="B132" s="115"/>
      <c r="C132" s="115">
        <v>225</v>
      </c>
      <c r="D132" s="116" t="s">
        <v>524</v>
      </c>
      <c r="E132" s="115">
        <v>244</v>
      </c>
      <c r="F132" s="115">
        <v>225</v>
      </c>
      <c r="G132" s="102" t="s">
        <v>534</v>
      </c>
      <c r="H132" s="118">
        <f>I132+J132+K132+L132+M132+N132</f>
        <v>2137882.27</v>
      </c>
      <c r="I132" s="125">
        <f>'ФЭО МЗ'!G200</f>
        <v>2137882.27</v>
      </c>
      <c r="J132" s="125"/>
      <c r="K132" s="113"/>
      <c r="L132" s="113"/>
      <c r="M132" s="113"/>
      <c r="N132" s="113"/>
    </row>
    <row r="133" spans="1:14" s="8" customFormat="1" ht="15" customHeight="1">
      <c r="A133" s="143" t="s">
        <v>324</v>
      </c>
      <c r="B133" s="115"/>
      <c r="C133" s="115">
        <v>225</v>
      </c>
      <c r="D133" s="116" t="s">
        <v>523</v>
      </c>
      <c r="E133" s="115">
        <v>244</v>
      </c>
      <c r="F133" s="115">
        <v>225</v>
      </c>
      <c r="G133" s="102" t="s">
        <v>535</v>
      </c>
      <c r="H133" s="118">
        <f>I133+J133+K133+L133+M133+N133</f>
        <v>2016407.73</v>
      </c>
      <c r="I133" s="125">
        <v>0</v>
      </c>
      <c r="J133" s="125"/>
      <c r="K133" s="113"/>
      <c r="L133" s="113"/>
      <c r="M133" s="113">
        <f>'ФЭО СС'!E192</f>
        <v>2016407.73</v>
      </c>
      <c r="N133" s="113"/>
    </row>
    <row r="134" spans="1:14" s="8" customFormat="1" ht="15" customHeight="1">
      <c r="A134" s="143" t="s">
        <v>325</v>
      </c>
      <c r="B134" s="115"/>
      <c r="C134" s="115">
        <v>310</v>
      </c>
      <c r="D134" s="116" t="s">
        <v>524</v>
      </c>
      <c r="E134" s="115">
        <v>244</v>
      </c>
      <c r="F134" s="115">
        <v>310</v>
      </c>
      <c r="G134" s="102" t="s">
        <v>533</v>
      </c>
      <c r="H134" s="118">
        <f t="shared" si="11"/>
        <v>399789.61</v>
      </c>
      <c r="I134" s="125">
        <f>'ФЭО МЗ'!G225</f>
        <v>399789.61</v>
      </c>
      <c r="J134" s="125"/>
      <c r="K134" s="113"/>
      <c r="L134" s="113"/>
      <c r="M134" s="113"/>
      <c r="N134" s="113"/>
    </row>
    <row r="135" spans="1:14" s="8" customFormat="1" ht="15" customHeight="1">
      <c r="A135" s="143" t="s">
        <v>325</v>
      </c>
      <c r="B135" s="115"/>
      <c r="C135" s="115">
        <v>310</v>
      </c>
      <c r="D135" s="116" t="s">
        <v>524</v>
      </c>
      <c r="E135" s="115">
        <v>244</v>
      </c>
      <c r="F135" s="115">
        <v>310</v>
      </c>
      <c r="G135" s="102" t="s">
        <v>534</v>
      </c>
      <c r="H135" s="118">
        <f>I135+J135+K135+L135+M135+N135</f>
        <v>313210.29000000004</v>
      </c>
      <c r="I135" s="125">
        <f>'ФЭО МЗ'!H225</f>
        <v>313210.29000000004</v>
      </c>
      <c r="J135" s="125"/>
      <c r="K135" s="113"/>
      <c r="L135" s="113"/>
      <c r="M135" s="113"/>
      <c r="N135" s="113"/>
    </row>
    <row r="136" spans="1:14" s="8" customFormat="1" ht="15" customHeight="1">
      <c r="A136" s="143" t="s">
        <v>325</v>
      </c>
      <c r="B136" s="115"/>
      <c r="C136" s="115">
        <v>310</v>
      </c>
      <c r="D136" s="116" t="s">
        <v>523</v>
      </c>
      <c r="E136" s="115">
        <v>244</v>
      </c>
      <c r="F136" s="115">
        <v>310</v>
      </c>
      <c r="G136" s="102" t="s">
        <v>535</v>
      </c>
      <c r="H136" s="118">
        <f>I136+J136+K136+L136+M136+N136</f>
        <v>104248</v>
      </c>
      <c r="I136" s="125">
        <v>0</v>
      </c>
      <c r="J136" s="125"/>
      <c r="K136" s="113"/>
      <c r="L136" s="113"/>
      <c r="M136" s="113">
        <f>'ФЭО СС'!F221</f>
        <v>104248</v>
      </c>
      <c r="N136" s="113"/>
    </row>
    <row r="137" spans="1:14" s="8" customFormat="1" ht="15" customHeight="1">
      <c r="A137" s="143" t="s">
        <v>326</v>
      </c>
      <c r="B137" s="115"/>
      <c r="C137" s="115">
        <v>320</v>
      </c>
      <c r="D137" s="115"/>
      <c r="E137" s="115"/>
      <c r="F137" s="115">
        <v>320</v>
      </c>
      <c r="G137" s="122"/>
      <c r="H137" s="118">
        <f t="shared" si="11"/>
        <v>0</v>
      </c>
      <c r="I137" s="125">
        <v>0</v>
      </c>
      <c r="J137" s="125"/>
      <c r="K137" s="113"/>
      <c r="L137" s="113"/>
      <c r="M137" s="113"/>
      <c r="N137" s="113"/>
    </row>
    <row r="138" spans="1:14" s="162" customFormat="1" ht="23.25" customHeight="1">
      <c r="A138" s="157" t="s">
        <v>327</v>
      </c>
      <c r="B138" s="158"/>
      <c r="C138" s="158">
        <v>340</v>
      </c>
      <c r="D138" s="158"/>
      <c r="E138" s="158">
        <v>244</v>
      </c>
      <c r="F138" s="158">
        <v>340</v>
      </c>
      <c r="G138" s="159"/>
      <c r="H138" s="160">
        <f t="shared" si="11"/>
        <v>124943.1</v>
      </c>
      <c r="I138" s="161">
        <f aca="true" t="shared" si="12" ref="I138:N138">I139+I140+I141+I142+I143</f>
        <v>124943.1</v>
      </c>
      <c r="J138" s="161">
        <f t="shared" si="12"/>
        <v>0</v>
      </c>
      <c r="K138" s="161">
        <f t="shared" si="12"/>
        <v>0</v>
      </c>
      <c r="L138" s="161">
        <f t="shared" si="12"/>
        <v>0</v>
      </c>
      <c r="M138" s="161">
        <f t="shared" si="12"/>
        <v>0</v>
      </c>
      <c r="N138" s="161">
        <f t="shared" si="12"/>
        <v>0</v>
      </c>
    </row>
    <row r="139" spans="1:14" s="8" customFormat="1" ht="15" customHeight="1">
      <c r="A139" s="143" t="s">
        <v>4</v>
      </c>
      <c r="B139" s="115"/>
      <c r="C139" s="115"/>
      <c r="D139" s="115"/>
      <c r="E139" s="115"/>
      <c r="F139" s="115"/>
      <c r="G139" s="122"/>
      <c r="H139" s="118"/>
      <c r="I139" s="125"/>
      <c r="J139" s="125"/>
      <c r="K139" s="113"/>
      <c r="L139" s="113"/>
      <c r="M139" s="113"/>
      <c r="N139" s="113"/>
    </row>
    <row r="140" spans="1:14" s="8" customFormat="1" ht="15" customHeight="1">
      <c r="A140" s="143" t="s">
        <v>328</v>
      </c>
      <c r="B140" s="115"/>
      <c r="C140" s="115"/>
      <c r="D140" s="116"/>
      <c r="E140" s="115"/>
      <c r="F140" s="115"/>
      <c r="G140" s="102"/>
      <c r="H140" s="118">
        <f>I140+J140+K140+L140+M140+N140</f>
        <v>0</v>
      </c>
      <c r="I140" s="125">
        <v>0</v>
      </c>
      <c r="J140" s="125"/>
      <c r="K140" s="113"/>
      <c r="L140" s="113"/>
      <c r="M140" s="113"/>
      <c r="N140" s="113"/>
    </row>
    <row r="141" spans="1:14" s="8" customFormat="1" ht="15" customHeight="1">
      <c r="A141" s="143" t="s">
        <v>329</v>
      </c>
      <c r="B141" s="115"/>
      <c r="C141" s="115"/>
      <c r="D141" s="115"/>
      <c r="E141" s="115"/>
      <c r="F141" s="115"/>
      <c r="G141" s="122"/>
      <c r="H141" s="118">
        <f>I141+J141+K141+L141+M141+N141</f>
        <v>0</v>
      </c>
      <c r="I141" s="125">
        <v>0</v>
      </c>
      <c r="J141" s="125"/>
      <c r="K141" s="113"/>
      <c r="L141" s="113"/>
      <c r="M141" s="113"/>
      <c r="N141" s="113"/>
    </row>
    <row r="142" spans="1:14" s="8" customFormat="1" ht="15" customHeight="1">
      <c r="A142" s="143" t="s">
        <v>330</v>
      </c>
      <c r="B142" s="115"/>
      <c r="C142" s="115">
        <v>346</v>
      </c>
      <c r="D142" s="116" t="s">
        <v>524</v>
      </c>
      <c r="E142" s="115"/>
      <c r="F142" s="115"/>
      <c r="G142" s="102" t="s">
        <v>534</v>
      </c>
      <c r="H142" s="118">
        <f>I142+J142+K142+L142+M142+N142</f>
        <v>124943.1</v>
      </c>
      <c r="I142" s="125">
        <f>'ФЭО МЗ'!H238</f>
        <v>124943.1</v>
      </c>
      <c r="J142" s="125"/>
      <c r="K142" s="113"/>
      <c r="L142" s="113"/>
      <c r="M142" s="113"/>
      <c r="N142" s="113"/>
    </row>
    <row r="143" spans="1:14" s="8" customFormat="1" ht="15" customHeight="1">
      <c r="A143" s="143" t="s">
        <v>331</v>
      </c>
      <c r="B143" s="115"/>
      <c r="C143" s="115"/>
      <c r="D143" s="115"/>
      <c r="E143" s="115"/>
      <c r="F143" s="115"/>
      <c r="G143" s="122"/>
      <c r="H143" s="118">
        <f>I143+J143+K143+L143+M143+N143</f>
        <v>0</v>
      </c>
      <c r="I143" s="125">
        <v>0</v>
      </c>
      <c r="J143" s="125"/>
      <c r="K143" s="113"/>
      <c r="L143" s="113"/>
      <c r="M143" s="113"/>
      <c r="N143" s="113"/>
    </row>
    <row r="144" spans="1:14" s="8" customFormat="1" ht="17.25" customHeight="1">
      <c r="A144" s="143" t="s">
        <v>332</v>
      </c>
      <c r="B144" s="115"/>
      <c r="C144" s="115">
        <v>530</v>
      </c>
      <c r="D144" s="115"/>
      <c r="E144" s="115">
        <v>465</v>
      </c>
      <c r="F144" s="115">
        <v>530</v>
      </c>
      <c r="G144" s="122"/>
      <c r="H144" s="118"/>
      <c r="I144" s="125"/>
      <c r="J144" s="125"/>
      <c r="K144" s="113"/>
      <c r="L144" s="113"/>
      <c r="M144" s="113"/>
      <c r="N144" s="113"/>
    </row>
    <row r="145" spans="1:14" s="162" customFormat="1" ht="17.25" customHeight="1">
      <c r="A145" s="157" t="s">
        <v>333</v>
      </c>
      <c r="B145" s="158"/>
      <c r="C145" s="158">
        <v>226</v>
      </c>
      <c r="D145" s="158"/>
      <c r="E145" s="158">
        <v>244</v>
      </c>
      <c r="F145" s="158">
        <v>226</v>
      </c>
      <c r="G145" s="159"/>
      <c r="H145" s="160">
        <f>I145+J145+K145+L145+M145+N145</f>
        <v>305456.9</v>
      </c>
      <c r="I145" s="161">
        <f>SUM(I147:I150)</f>
        <v>305456.9</v>
      </c>
      <c r="J145" s="161">
        <f>J147+J148+J149</f>
        <v>0</v>
      </c>
      <c r="K145" s="161">
        <f>K147+K148+K149</f>
        <v>0</v>
      </c>
      <c r="L145" s="161">
        <f>L147+L148+L149</f>
        <v>0</v>
      </c>
      <c r="M145" s="161">
        <f>M147+M148+M149</f>
        <v>0</v>
      </c>
      <c r="N145" s="161">
        <f>N147+N148+N149</f>
        <v>0</v>
      </c>
    </row>
    <row r="146" spans="1:14" s="8" customFormat="1" ht="17.25" customHeight="1">
      <c r="A146" s="143" t="s">
        <v>4</v>
      </c>
      <c r="B146" s="115"/>
      <c r="C146" s="115"/>
      <c r="D146" s="115"/>
      <c r="E146" s="115"/>
      <c r="F146" s="115"/>
      <c r="G146" s="122"/>
      <c r="H146" s="118"/>
      <c r="I146" s="125"/>
      <c r="J146" s="125"/>
      <c r="K146" s="113"/>
      <c r="L146" s="113"/>
      <c r="M146" s="113"/>
      <c r="N146" s="113"/>
    </row>
    <row r="147" spans="1:14" s="8" customFormat="1" ht="17.25" customHeight="1">
      <c r="A147" s="143" t="s">
        <v>334</v>
      </c>
      <c r="B147" s="115"/>
      <c r="C147" s="115"/>
      <c r="D147" s="115"/>
      <c r="E147" s="115"/>
      <c r="F147" s="115"/>
      <c r="G147" s="122"/>
      <c r="H147" s="118">
        <f aca="true" t="shared" si="13" ref="H147:H152">I147+J147+K147+L147+M147+N147</f>
        <v>0</v>
      </c>
      <c r="I147" s="125"/>
      <c r="J147" s="125"/>
      <c r="K147" s="113"/>
      <c r="L147" s="113"/>
      <c r="M147" s="113"/>
      <c r="N147" s="113"/>
    </row>
    <row r="148" spans="1:14" s="8" customFormat="1" ht="28.5" customHeight="1">
      <c r="A148" s="143" t="s">
        <v>335</v>
      </c>
      <c r="B148" s="115"/>
      <c r="C148" s="115"/>
      <c r="D148" s="115"/>
      <c r="E148" s="115"/>
      <c r="F148" s="115"/>
      <c r="G148" s="122"/>
      <c r="H148" s="118">
        <f t="shared" si="13"/>
        <v>0</v>
      </c>
      <c r="I148" s="125"/>
      <c r="J148" s="125"/>
      <c r="K148" s="113"/>
      <c r="L148" s="113"/>
      <c r="M148" s="113"/>
      <c r="N148" s="113"/>
    </row>
    <row r="149" spans="1:14" s="8" customFormat="1" ht="17.25" customHeight="1">
      <c r="A149" s="143" t="s">
        <v>336</v>
      </c>
      <c r="B149" s="115"/>
      <c r="C149" s="115">
        <v>226</v>
      </c>
      <c r="D149" s="116" t="s">
        <v>524</v>
      </c>
      <c r="E149" s="115">
        <v>244</v>
      </c>
      <c r="F149" s="115">
        <v>226</v>
      </c>
      <c r="G149" s="102" t="s">
        <v>533</v>
      </c>
      <c r="H149" s="118">
        <f t="shared" si="13"/>
        <v>101269</v>
      </c>
      <c r="I149" s="125">
        <f>'ФЭО МЗ'!E213</f>
        <v>101269</v>
      </c>
      <c r="J149" s="125"/>
      <c r="K149" s="113"/>
      <c r="L149" s="113"/>
      <c r="M149" s="113"/>
      <c r="N149" s="113"/>
    </row>
    <row r="150" spans="1:14" s="8" customFormat="1" ht="17.25" customHeight="1">
      <c r="A150" s="143" t="s">
        <v>336</v>
      </c>
      <c r="B150" s="115"/>
      <c r="C150" s="115">
        <v>226</v>
      </c>
      <c r="D150" s="116" t="s">
        <v>524</v>
      </c>
      <c r="E150" s="115">
        <v>244</v>
      </c>
      <c r="F150" s="115">
        <v>226</v>
      </c>
      <c r="G150" s="102" t="s">
        <v>534</v>
      </c>
      <c r="H150" s="118">
        <f t="shared" si="13"/>
        <v>204187.9</v>
      </c>
      <c r="I150" s="125">
        <f>'ФЭО МЗ'!F213</f>
        <v>204187.9</v>
      </c>
      <c r="J150" s="125"/>
      <c r="K150" s="113"/>
      <c r="L150" s="113"/>
      <c r="M150" s="113"/>
      <c r="N150" s="113"/>
    </row>
    <row r="151" spans="1:14" s="8" customFormat="1" ht="17.25" customHeight="1">
      <c r="A151" s="143" t="s">
        <v>336</v>
      </c>
      <c r="B151" s="115"/>
      <c r="C151" s="115">
        <v>226</v>
      </c>
      <c r="D151" s="116" t="s">
        <v>523</v>
      </c>
      <c r="E151" s="115">
        <v>244</v>
      </c>
      <c r="F151" s="115">
        <v>226</v>
      </c>
      <c r="G151" s="102" t="s">
        <v>535</v>
      </c>
      <c r="H151" s="118">
        <f t="shared" si="13"/>
        <v>1324014.58</v>
      </c>
      <c r="I151" s="125">
        <v>0</v>
      </c>
      <c r="J151" s="125"/>
      <c r="K151" s="113"/>
      <c r="L151" s="113"/>
      <c r="M151" s="113">
        <f>'ФЭО СС'!D209</f>
        <v>1324014.58</v>
      </c>
      <c r="N151" s="113"/>
    </row>
    <row r="152" spans="1:14" s="8" customFormat="1" ht="17.25" customHeight="1">
      <c r="A152" s="143" t="s">
        <v>400</v>
      </c>
      <c r="B152" s="115"/>
      <c r="C152" s="115">
        <v>296</v>
      </c>
      <c r="D152" s="115"/>
      <c r="E152" s="115">
        <v>244</v>
      </c>
      <c r="F152" s="115">
        <v>296</v>
      </c>
      <c r="G152" s="122"/>
      <c r="H152" s="118">
        <f t="shared" si="13"/>
        <v>0</v>
      </c>
      <c r="I152" s="125"/>
      <c r="J152" s="125"/>
      <c r="K152" s="113"/>
      <c r="L152" s="113"/>
      <c r="M152" s="113"/>
      <c r="N152" s="113"/>
    </row>
    <row r="153" spans="1:14" s="8" customFormat="1" ht="17.25" customHeight="1">
      <c r="A153" s="137" t="s">
        <v>53</v>
      </c>
      <c r="B153" s="115">
        <v>300</v>
      </c>
      <c r="C153" s="115" t="s">
        <v>10</v>
      </c>
      <c r="D153" s="115"/>
      <c r="E153" s="115"/>
      <c r="F153" s="115" t="s">
        <v>10</v>
      </c>
      <c r="G153" s="122"/>
      <c r="H153" s="118">
        <f>H155+H156</f>
        <v>0</v>
      </c>
      <c r="I153" s="125">
        <f aca="true" t="shared" si="14" ref="I153:N153">I155+I156</f>
        <v>0</v>
      </c>
      <c r="J153" s="125">
        <f t="shared" si="14"/>
        <v>0</v>
      </c>
      <c r="K153" s="125">
        <f t="shared" si="14"/>
        <v>0</v>
      </c>
      <c r="L153" s="125">
        <f t="shared" si="14"/>
        <v>0</v>
      </c>
      <c r="M153" s="125">
        <f t="shared" si="14"/>
        <v>0</v>
      </c>
      <c r="N153" s="125">
        <f t="shared" si="14"/>
        <v>0</v>
      </c>
    </row>
    <row r="154" spans="1:14" s="8" customFormat="1" ht="14.25" customHeight="1">
      <c r="A154" s="137" t="s">
        <v>3</v>
      </c>
      <c r="B154" s="115"/>
      <c r="C154" s="149"/>
      <c r="D154" s="115"/>
      <c r="E154" s="115"/>
      <c r="F154" s="149"/>
      <c r="G154" s="150"/>
      <c r="H154" s="118"/>
      <c r="I154" s="125"/>
      <c r="J154" s="125"/>
      <c r="K154" s="113"/>
      <c r="L154" s="113"/>
      <c r="M154" s="113"/>
      <c r="N154" s="113"/>
    </row>
    <row r="155" spans="1:14" s="8" customFormat="1" ht="16.5" customHeight="1">
      <c r="A155" s="137" t="s">
        <v>54</v>
      </c>
      <c r="B155" s="145">
        <v>310</v>
      </c>
      <c r="C155" s="151"/>
      <c r="D155" s="145"/>
      <c r="E155" s="145"/>
      <c r="F155" s="151"/>
      <c r="G155" s="152"/>
      <c r="H155" s="118">
        <f>I155+J155+K155+L155+M155+N155</f>
        <v>0</v>
      </c>
      <c r="I155" s="125"/>
      <c r="J155" s="125"/>
      <c r="K155" s="113"/>
      <c r="L155" s="113"/>
      <c r="M155" s="113"/>
      <c r="N155" s="113"/>
    </row>
    <row r="156" spans="1:14" s="153" customFormat="1" ht="15" customHeight="1">
      <c r="A156" s="137" t="s">
        <v>55</v>
      </c>
      <c r="B156" s="115">
        <v>320</v>
      </c>
      <c r="C156" s="115"/>
      <c r="D156" s="115"/>
      <c r="E156" s="115"/>
      <c r="F156" s="115"/>
      <c r="G156" s="122"/>
      <c r="H156" s="118">
        <f>I156+J156+K156+L156+M156+N156</f>
        <v>0</v>
      </c>
      <c r="I156" s="125"/>
      <c r="J156" s="125"/>
      <c r="K156" s="113"/>
      <c r="L156" s="113"/>
      <c r="M156" s="113"/>
      <c r="N156" s="113"/>
    </row>
    <row r="157" spans="1:14" s="153" customFormat="1" ht="17.25" customHeight="1">
      <c r="A157" s="137" t="s">
        <v>56</v>
      </c>
      <c r="B157" s="115">
        <v>400</v>
      </c>
      <c r="C157" s="115"/>
      <c r="D157" s="115"/>
      <c r="E157" s="115"/>
      <c r="F157" s="115"/>
      <c r="G157" s="122"/>
      <c r="H157" s="118">
        <f>H159+H160</f>
        <v>0</v>
      </c>
      <c r="I157" s="125">
        <f aca="true" t="shared" si="15" ref="I157:N157">I159+I160</f>
        <v>0</v>
      </c>
      <c r="J157" s="125">
        <f t="shared" si="15"/>
        <v>0</v>
      </c>
      <c r="K157" s="125">
        <f t="shared" si="15"/>
        <v>0</v>
      </c>
      <c r="L157" s="125">
        <f t="shared" si="15"/>
        <v>0</v>
      </c>
      <c r="M157" s="125">
        <f t="shared" si="15"/>
        <v>0</v>
      </c>
      <c r="N157" s="125">
        <f t="shared" si="15"/>
        <v>0</v>
      </c>
    </row>
    <row r="158" spans="1:14" s="153" customFormat="1" ht="14.25" customHeight="1">
      <c r="A158" s="137" t="s">
        <v>3</v>
      </c>
      <c r="B158" s="115"/>
      <c r="C158" s="149"/>
      <c r="D158" s="115"/>
      <c r="E158" s="115"/>
      <c r="F158" s="149"/>
      <c r="G158" s="150"/>
      <c r="H158" s="118"/>
      <c r="I158" s="125"/>
      <c r="J158" s="125"/>
      <c r="K158" s="113"/>
      <c r="L158" s="113"/>
      <c r="M158" s="113"/>
      <c r="N158" s="113"/>
    </row>
    <row r="159" spans="1:14" s="153" customFormat="1" ht="15.75" customHeight="1">
      <c r="A159" s="137" t="s">
        <v>57</v>
      </c>
      <c r="B159" s="145">
        <v>410</v>
      </c>
      <c r="C159" s="151"/>
      <c r="D159" s="145"/>
      <c r="E159" s="145"/>
      <c r="F159" s="151"/>
      <c r="G159" s="152"/>
      <c r="H159" s="118">
        <f aca="true" t="shared" si="16" ref="H159:H168">I159+J159+K159+L159+M159+N159</f>
        <v>0</v>
      </c>
      <c r="I159" s="125"/>
      <c r="J159" s="125"/>
      <c r="K159" s="113"/>
      <c r="L159" s="113"/>
      <c r="M159" s="113"/>
      <c r="N159" s="113"/>
    </row>
    <row r="160" spans="1:14" s="153" customFormat="1" ht="13.5" customHeight="1">
      <c r="A160" s="137" t="s">
        <v>58</v>
      </c>
      <c r="B160" s="115">
        <v>420</v>
      </c>
      <c r="C160" s="115"/>
      <c r="D160" s="115"/>
      <c r="E160" s="115"/>
      <c r="F160" s="115"/>
      <c r="G160" s="122"/>
      <c r="H160" s="118">
        <f t="shared" si="16"/>
        <v>0</v>
      </c>
      <c r="I160" s="125"/>
      <c r="J160" s="125"/>
      <c r="K160" s="113"/>
      <c r="L160" s="113"/>
      <c r="M160" s="113"/>
      <c r="N160" s="113"/>
    </row>
    <row r="161" spans="1:14" s="153" customFormat="1" ht="28.5" customHeight="1">
      <c r="A161" s="137" t="s">
        <v>337</v>
      </c>
      <c r="B161" s="115">
        <v>500</v>
      </c>
      <c r="C161" s="115" t="s">
        <v>10</v>
      </c>
      <c r="D161" s="115"/>
      <c r="E161" s="115"/>
      <c r="F161" s="115" t="s">
        <v>10</v>
      </c>
      <c r="G161" s="122"/>
      <c r="H161" s="118">
        <f t="shared" si="16"/>
        <v>0</v>
      </c>
      <c r="I161" s="125">
        <f>I162+I163</f>
        <v>0</v>
      </c>
      <c r="J161" s="125">
        <f>J162+J163</f>
        <v>0</v>
      </c>
      <c r="K161" s="125">
        <f>K162+K163</f>
        <v>0</v>
      </c>
      <c r="L161" s="125">
        <f>L162+L163</f>
        <v>0</v>
      </c>
      <c r="M161" s="125">
        <f>M162+M163+M164+M165+M166+M167</f>
        <v>0</v>
      </c>
      <c r="N161" s="125">
        <f>N162+N163</f>
        <v>0</v>
      </c>
    </row>
    <row r="162" spans="1:14" s="153" customFormat="1" ht="18" customHeight="1">
      <c r="A162" s="137" t="s">
        <v>59</v>
      </c>
      <c r="B162" s="115"/>
      <c r="C162" s="115">
        <v>131</v>
      </c>
      <c r="D162" s="116" t="s">
        <v>524</v>
      </c>
      <c r="E162" s="115"/>
      <c r="F162" s="115">
        <v>131</v>
      </c>
      <c r="G162" s="102" t="s">
        <v>534</v>
      </c>
      <c r="H162" s="118">
        <f t="shared" si="16"/>
        <v>0</v>
      </c>
      <c r="I162" s="154">
        <v>0</v>
      </c>
      <c r="J162" s="125"/>
      <c r="K162" s="113"/>
      <c r="L162" s="113"/>
      <c r="M162" s="113"/>
      <c r="N162" s="113"/>
    </row>
    <row r="163" spans="1:14" s="153" customFormat="1" ht="18" customHeight="1">
      <c r="A163" s="137" t="s">
        <v>59</v>
      </c>
      <c r="B163" s="115"/>
      <c r="C163" s="115">
        <v>152</v>
      </c>
      <c r="D163" s="115">
        <v>901480000</v>
      </c>
      <c r="E163" s="115"/>
      <c r="F163" s="115">
        <v>152</v>
      </c>
      <c r="G163" s="102" t="s">
        <v>533</v>
      </c>
      <c r="H163" s="118">
        <f t="shared" si="16"/>
        <v>0</v>
      </c>
      <c r="I163" s="154">
        <v>0</v>
      </c>
      <c r="J163" s="125"/>
      <c r="K163" s="113"/>
      <c r="L163" s="113"/>
      <c r="M163" s="113"/>
      <c r="N163" s="113"/>
    </row>
    <row r="164" spans="1:14" s="153" customFormat="1" ht="18" customHeight="1">
      <c r="A164" s="137" t="s">
        <v>59</v>
      </c>
      <c r="B164" s="115"/>
      <c r="C164" s="115">
        <v>121</v>
      </c>
      <c r="D164" s="116" t="s">
        <v>523</v>
      </c>
      <c r="E164" s="115"/>
      <c r="F164" s="115">
        <v>121</v>
      </c>
      <c r="G164" s="117" t="s">
        <v>535</v>
      </c>
      <c r="H164" s="118">
        <f t="shared" si="16"/>
        <v>0</v>
      </c>
      <c r="I164" s="154">
        <v>0</v>
      </c>
      <c r="J164" s="125"/>
      <c r="K164" s="113"/>
      <c r="L164" s="113"/>
      <c r="M164" s="113"/>
      <c r="N164" s="113"/>
    </row>
    <row r="165" spans="1:14" s="153" customFormat="1" ht="18" customHeight="1">
      <c r="A165" s="137" t="s">
        <v>59</v>
      </c>
      <c r="B165" s="115"/>
      <c r="C165" s="115">
        <v>131</v>
      </c>
      <c r="D165" s="116" t="s">
        <v>523</v>
      </c>
      <c r="E165" s="115"/>
      <c r="F165" s="115">
        <v>131</v>
      </c>
      <c r="G165" s="117" t="s">
        <v>535</v>
      </c>
      <c r="H165" s="118">
        <f t="shared" si="16"/>
        <v>0</v>
      </c>
      <c r="I165" s="154">
        <v>0</v>
      </c>
      <c r="J165" s="125"/>
      <c r="K165" s="113"/>
      <c r="L165" s="113"/>
      <c r="M165" s="113"/>
      <c r="N165" s="113"/>
    </row>
    <row r="166" spans="1:14" s="153" customFormat="1" ht="18" customHeight="1">
      <c r="A166" s="137" t="s">
        <v>59</v>
      </c>
      <c r="B166" s="115"/>
      <c r="C166" s="115">
        <v>135</v>
      </c>
      <c r="D166" s="116" t="s">
        <v>523</v>
      </c>
      <c r="E166" s="115"/>
      <c r="F166" s="115">
        <v>135</v>
      </c>
      <c r="G166" s="117" t="s">
        <v>535</v>
      </c>
      <c r="H166" s="118">
        <f t="shared" si="16"/>
        <v>0</v>
      </c>
      <c r="I166" s="154">
        <v>0</v>
      </c>
      <c r="J166" s="125"/>
      <c r="K166" s="113"/>
      <c r="L166" s="113"/>
      <c r="M166" s="113"/>
      <c r="N166" s="113"/>
    </row>
    <row r="167" spans="1:14" s="153" customFormat="1" ht="18" customHeight="1">
      <c r="A167" s="137" t="s">
        <v>59</v>
      </c>
      <c r="B167" s="115"/>
      <c r="C167" s="115">
        <v>189</v>
      </c>
      <c r="D167" s="116" t="s">
        <v>523</v>
      </c>
      <c r="E167" s="115"/>
      <c r="F167" s="115">
        <v>189</v>
      </c>
      <c r="G167" s="117" t="s">
        <v>535</v>
      </c>
      <c r="H167" s="118">
        <f t="shared" si="16"/>
        <v>0</v>
      </c>
      <c r="I167" s="154">
        <v>0</v>
      </c>
      <c r="J167" s="125"/>
      <c r="K167" s="113"/>
      <c r="L167" s="113"/>
      <c r="M167" s="113"/>
      <c r="N167" s="113"/>
    </row>
    <row r="168" spans="1:14" s="153" customFormat="1" ht="18" customHeight="1">
      <c r="A168" s="137" t="s">
        <v>60</v>
      </c>
      <c r="B168" s="115">
        <v>600</v>
      </c>
      <c r="C168" s="115" t="s">
        <v>10</v>
      </c>
      <c r="D168" s="115"/>
      <c r="E168" s="115"/>
      <c r="F168" s="115" t="s">
        <v>10</v>
      </c>
      <c r="G168" s="122"/>
      <c r="H168" s="155">
        <f t="shared" si="16"/>
        <v>0</v>
      </c>
      <c r="I168" s="156">
        <f>I11-I68</f>
        <v>0</v>
      </c>
      <c r="J168" s="156">
        <f>J11-J68</f>
        <v>0</v>
      </c>
      <c r="K168" s="156"/>
      <c r="L168" s="156"/>
      <c r="M168" s="156">
        <f>M11-M68</f>
        <v>0</v>
      </c>
      <c r="N168" s="120"/>
    </row>
    <row r="169" spans="1:14" ht="15">
      <c r="A169" s="3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2" t="s">
        <v>77</v>
      </c>
    </row>
    <row r="170" spans="1:14" ht="14.25" customHeight="1">
      <c r="A170" s="38"/>
      <c r="B170" s="21"/>
      <c r="C170" s="21"/>
      <c r="D170" s="21"/>
      <c r="E170" s="21"/>
      <c r="F170" s="21"/>
      <c r="G170" s="21"/>
      <c r="H170" s="452"/>
      <c r="I170" s="452"/>
      <c r="J170" s="452"/>
      <c r="K170" s="452"/>
      <c r="L170" s="21"/>
      <c r="M170" s="21"/>
      <c r="N170" s="21"/>
    </row>
    <row r="171" spans="1:14" ht="12.75" customHeight="1">
      <c r="A171" s="38"/>
      <c r="B171" s="21"/>
      <c r="C171" s="21"/>
      <c r="D171" s="21"/>
      <c r="E171" s="21"/>
      <c r="F171" s="21"/>
      <c r="G171" s="21"/>
      <c r="H171" s="448" t="s">
        <v>41</v>
      </c>
      <c r="I171" s="448"/>
      <c r="J171" s="448"/>
      <c r="K171" s="448"/>
      <c r="L171" s="21"/>
      <c r="M171" s="21"/>
      <c r="N171" s="21"/>
    </row>
    <row r="172" spans="1:14" ht="12.75" customHeight="1">
      <c r="A172" s="38"/>
      <c r="B172" s="21"/>
      <c r="C172" s="21"/>
      <c r="D172" s="21"/>
      <c r="E172" s="21"/>
      <c r="F172" s="21"/>
      <c r="G172" s="21"/>
      <c r="H172" s="447" t="s">
        <v>521</v>
      </c>
      <c r="I172" s="447"/>
      <c r="J172" s="447"/>
      <c r="K172" s="447"/>
      <c r="L172" s="21"/>
      <c r="M172" s="21"/>
      <c r="N172" s="21"/>
    </row>
    <row r="173" spans="1:14" ht="12.75" customHeight="1">
      <c r="A173" s="38"/>
      <c r="B173" s="21"/>
      <c r="C173" s="21"/>
      <c r="D173" s="21"/>
      <c r="E173" s="21"/>
      <c r="F173" s="21"/>
      <c r="G173" s="21"/>
      <c r="H173" s="22"/>
      <c r="I173" s="22"/>
      <c r="J173" s="22"/>
      <c r="K173" s="22"/>
      <c r="L173" s="21"/>
      <c r="M173" s="21"/>
      <c r="N173" s="21"/>
    </row>
    <row r="174" spans="1:15" s="8" customFormat="1" ht="18" customHeight="1">
      <c r="A174" s="443" t="s">
        <v>1</v>
      </c>
      <c r="B174" s="439" t="s">
        <v>45</v>
      </c>
      <c r="C174" s="427" t="s">
        <v>397</v>
      </c>
      <c r="D174" s="449" t="s">
        <v>163</v>
      </c>
      <c r="E174" s="436" t="s">
        <v>164</v>
      </c>
      <c r="F174" s="439" t="s">
        <v>165</v>
      </c>
      <c r="G174" s="430" t="s">
        <v>338</v>
      </c>
      <c r="H174" s="433" t="s">
        <v>38</v>
      </c>
      <c r="I174" s="434"/>
      <c r="J174" s="434"/>
      <c r="K174" s="434"/>
      <c r="L174" s="434"/>
      <c r="M174" s="434"/>
      <c r="N174" s="435"/>
      <c r="O174" s="64"/>
    </row>
    <row r="175" spans="1:15" s="8" customFormat="1" ht="16.5" customHeight="1">
      <c r="A175" s="444"/>
      <c r="B175" s="439"/>
      <c r="C175" s="428"/>
      <c r="D175" s="450"/>
      <c r="E175" s="437"/>
      <c r="F175" s="439"/>
      <c r="G175" s="431"/>
      <c r="H175" s="436" t="s">
        <v>33</v>
      </c>
      <c r="I175" s="439" t="s">
        <v>4</v>
      </c>
      <c r="J175" s="439"/>
      <c r="K175" s="439"/>
      <c r="L175" s="439"/>
      <c r="M175" s="439"/>
      <c r="N175" s="439"/>
      <c r="O175" s="64"/>
    </row>
    <row r="176" spans="1:15" s="8" customFormat="1" ht="68.25" customHeight="1">
      <c r="A176" s="444"/>
      <c r="B176" s="439"/>
      <c r="C176" s="428"/>
      <c r="D176" s="450"/>
      <c r="E176" s="437"/>
      <c r="F176" s="439"/>
      <c r="G176" s="431"/>
      <c r="H176" s="437"/>
      <c r="I176" s="440" t="s">
        <v>398</v>
      </c>
      <c r="J176" s="425" t="s">
        <v>166</v>
      </c>
      <c r="K176" s="438" t="s">
        <v>34</v>
      </c>
      <c r="L176" s="437" t="s">
        <v>35</v>
      </c>
      <c r="M176" s="438" t="s">
        <v>50</v>
      </c>
      <c r="N176" s="438"/>
      <c r="O176" s="64"/>
    </row>
    <row r="177" spans="1:15" s="8" customFormat="1" ht="30.75" customHeight="1">
      <c r="A177" s="445"/>
      <c r="B177" s="439"/>
      <c r="C177" s="429"/>
      <c r="D177" s="451"/>
      <c r="E177" s="438"/>
      <c r="F177" s="439"/>
      <c r="G177" s="432"/>
      <c r="H177" s="438"/>
      <c r="I177" s="441"/>
      <c r="J177" s="426"/>
      <c r="K177" s="439"/>
      <c r="L177" s="438"/>
      <c r="M177" s="42" t="s">
        <v>36</v>
      </c>
      <c r="N177" s="42" t="s">
        <v>37</v>
      </c>
      <c r="O177" s="64"/>
    </row>
    <row r="178" spans="1:15" s="9" customFormat="1" ht="12">
      <c r="A178" s="24">
        <v>2</v>
      </c>
      <c r="B178" s="24">
        <v>3</v>
      </c>
      <c r="C178" s="24"/>
      <c r="D178" s="24">
        <v>4</v>
      </c>
      <c r="E178" s="24">
        <v>5</v>
      </c>
      <c r="F178" s="24">
        <v>6</v>
      </c>
      <c r="G178" s="24">
        <v>7</v>
      </c>
      <c r="H178" s="17">
        <v>8</v>
      </c>
      <c r="I178" s="17">
        <v>9</v>
      </c>
      <c r="J178" s="17">
        <v>10</v>
      </c>
      <c r="K178" s="17">
        <v>11</v>
      </c>
      <c r="L178" s="17">
        <v>12</v>
      </c>
      <c r="M178" s="17">
        <v>13</v>
      </c>
      <c r="N178" s="17">
        <v>14</v>
      </c>
      <c r="O178" s="65"/>
    </row>
    <row r="179" spans="1:14" s="107" customFormat="1" ht="12.75">
      <c r="A179" s="103" t="s">
        <v>43</v>
      </c>
      <c r="B179" s="104">
        <v>100</v>
      </c>
      <c r="C179" s="104"/>
      <c r="D179" s="104"/>
      <c r="E179" s="104"/>
      <c r="F179" s="104" t="s">
        <v>10</v>
      </c>
      <c r="G179" s="105"/>
      <c r="H179" s="106">
        <f>H181+H185+H218</f>
        <v>38565022.099999994</v>
      </c>
      <c r="I179" s="106">
        <f>I185</f>
        <v>31789495.74</v>
      </c>
      <c r="J179" s="106">
        <f>J218</f>
        <v>0</v>
      </c>
      <c r="K179" s="106">
        <f>K219</f>
        <v>0</v>
      </c>
      <c r="L179" s="106">
        <f>L185</f>
        <v>0</v>
      </c>
      <c r="M179" s="106">
        <f>M181+M185+M217+M226</f>
        <v>6775526.36</v>
      </c>
      <c r="N179" s="106">
        <f>N185+N226</f>
        <v>0</v>
      </c>
    </row>
    <row r="180" spans="1:14" s="107" customFormat="1" ht="12.75">
      <c r="A180" s="108" t="s">
        <v>3</v>
      </c>
      <c r="B180" s="109"/>
      <c r="C180" s="109"/>
      <c r="D180" s="109"/>
      <c r="E180" s="109"/>
      <c r="F180" s="109"/>
      <c r="G180" s="110"/>
      <c r="H180" s="111"/>
      <c r="I180" s="111"/>
      <c r="J180" s="111"/>
      <c r="K180" s="112"/>
      <c r="L180" s="112"/>
      <c r="M180" s="113"/>
      <c r="N180" s="112"/>
    </row>
    <row r="181" spans="1:14" s="121" customFormat="1" ht="17.25" customHeight="1">
      <c r="A181" s="114" t="s">
        <v>32</v>
      </c>
      <c r="B181" s="115">
        <v>110</v>
      </c>
      <c r="C181" s="115">
        <v>120</v>
      </c>
      <c r="D181" s="116" t="s">
        <v>523</v>
      </c>
      <c r="E181" s="115"/>
      <c r="F181" s="115">
        <v>120</v>
      </c>
      <c r="G181" s="117" t="s">
        <v>363</v>
      </c>
      <c r="H181" s="118">
        <f>M181</f>
        <v>750526.36</v>
      </c>
      <c r="I181" s="115" t="s">
        <v>74</v>
      </c>
      <c r="J181" s="115" t="s">
        <v>74</v>
      </c>
      <c r="K181" s="119" t="s">
        <v>10</v>
      </c>
      <c r="L181" s="119" t="s">
        <v>10</v>
      </c>
      <c r="M181" s="120">
        <f>M183+M184</f>
        <v>750526.36</v>
      </c>
      <c r="N181" s="119" t="s">
        <v>10</v>
      </c>
    </row>
    <row r="182" spans="1:14" s="121" customFormat="1" ht="12.75">
      <c r="A182" s="114" t="s">
        <v>364</v>
      </c>
      <c r="B182" s="115"/>
      <c r="C182" s="115"/>
      <c r="D182" s="116"/>
      <c r="E182" s="115"/>
      <c r="F182" s="115"/>
      <c r="G182" s="122"/>
      <c r="H182" s="118"/>
      <c r="I182" s="122"/>
      <c r="J182" s="115"/>
      <c r="K182" s="119"/>
      <c r="L182" s="123"/>
      <c r="M182" s="118"/>
      <c r="N182" s="123"/>
    </row>
    <row r="183" spans="1:14" s="121" customFormat="1" ht="14.25" customHeight="1">
      <c r="A183" s="114" t="s">
        <v>365</v>
      </c>
      <c r="B183" s="115"/>
      <c r="C183" s="115">
        <v>121</v>
      </c>
      <c r="D183" s="116" t="s">
        <v>523</v>
      </c>
      <c r="E183" s="115"/>
      <c r="F183" s="115">
        <v>121</v>
      </c>
      <c r="G183" s="117" t="s">
        <v>363</v>
      </c>
      <c r="H183" s="118">
        <f>SUM(I183:M183)</f>
        <v>700526.36</v>
      </c>
      <c r="I183" s="122"/>
      <c r="J183" s="115"/>
      <c r="K183" s="119"/>
      <c r="L183" s="123"/>
      <c r="M183" s="118">
        <v>700526.36</v>
      </c>
      <c r="N183" s="123"/>
    </row>
    <row r="184" spans="1:14" s="121" customFormat="1" ht="21" customHeight="1">
      <c r="A184" s="114" t="s">
        <v>366</v>
      </c>
      <c r="B184" s="115"/>
      <c r="C184" s="115">
        <v>124</v>
      </c>
      <c r="D184" s="116" t="s">
        <v>523</v>
      </c>
      <c r="E184" s="115"/>
      <c r="F184" s="115">
        <v>124</v>
      </c>
      <c r="G184" s="117" t="s">
        <v>363</v>
      </c>
      <c r="H184" s="118">
        <f>SUM(I184:M184)</f>
        <v>50000</v>
      </c>
      <c r="I184" s="122"/>
      <c r="J184" s="115"/>
      <c r="K184" s="119"/>
      <c r="L184" s="123"/>
      <c r="M184" s="118">
        <v>50000</v>
      </c>
      <c r="N184" s="123"/>
    </row>
    <row r="185" spans="1:14" s="121" customFormat="1" ht="23.25" customHeight="1">
      <c r="A185" s="114" t="s">
        <v>367</v>
      </c>
      <c r="B185" s="115">
        <v>120</v>
      </c>
      <c r="C185" s="115">
        <v>130</v>
      </c>
      <c r="D185" s="116" t="s">
        <v>523</v>
      </c>
      <c r="E185" s="115"/>
      <c r="F185" s="115">
        <v>130</v>
      </c>
      <c r="G185" s="122"/>
      <c r="H185" s="118">
        <f>I185+L185+M185+N185</f>
        <v>37814495.739999995</v>
      </c>
      <c r="I185" s="118">
        <f>SUM(I186:I208)</f>
        <v>31789495.74</v>
      </c>
      <c r="J185" s="115" t="s">
        <v>74</v>
      </c>
      <c r="K185" s="115" t="s">
        <v>74</v>
      </c>
      <c r="L185" s="118">
        <f>L186+L188+L190+L192+L194+L196+L197+L198+L199+L200+L201+L202+L203+L204+L205+L206+L207+L208</f>
        <v>0</v>
      </c>
      <c r="M185" s="118">
        <f>M186+M188+M190+M192+M194+M196+M197+M198+M199+M200+M201+M202+M203+M204+M205+M206+M207+M208+M189+M209</f>
        <v>6025000</v>
      </c>
      <c r="N185" s="118">
        <f>N186+N188+N190+N192+N194+N196+N197+N198+N199+N200+N201+N202+N203</f>
        <v>0</v>
      </c>
    </row>
    <row r="186" spans="1:14" s="107" customFormat="1" ht="27.75" customHeight="1">
      <c r="A186" s="124" t="s">
        <v>342</v>
      </c>
      <c r="B186" s="115"/>
      <c r="C186" s="115">
        <v>131</v>
      </c>
      <c r="D186" s="115">
        <v>800000000</v>
      </c>
      <c r="E186" s="115"/>
      <c r="F186" s="115">
        <v>131</v>
      </c>
      <c r="G186" s="181" t="s">
        <v>526</v>
      </c>
      <c r="H186" s="125">
        <f>I186+J186+K186+L186+M186</f>
        <v>0</v>
      </c>
      <c r="I186" s="125">
        <v>0</v>
      </c>
      <c r="J186" s="125">
        <v>0</v>
      </c>
      <c r="K186" s="112"/>
      <c r="L186" s="111"/>
      <c r="M186" s="125">
        <v>0</v>
      </c>
      <c r="N186" s="125"/>
    </row>
    <row r="187" spans="1:14" s="107" customFormat="1" ht="12" customHeight="1">
      <c r="A187" s="124" t="s">
        <v>356</v>
      </c>
      <c r="B187" s="115"/>
      <c r="C187" s="115">
        <v>131</v>
      </c>
      <c r="D187" s="115">
        <v>800000000</v>
      </c>
      <c r="E187" s="115"/>
      <c r="F187" s="115">
        <v>131</v>
      </c>
      <c r="G187" s="181" t="s">
        <v>527</v>
      </c>
      <c r="H187" s="125">
        <f>I187+J187+K187+L187+M187</f>
        <v>0</v>
      </c>
      <c r="I187" s="125">
        <v>0</v>
      </c>
      <c r="J187" s="125">
        <v>0</v>
      </c>
      <c r="K187" s="112"/>
      <c r="L187" s="111"/>
      <c r="M187" s="125">
        <v>0</v>
      </c>
      <c r="N187" s="125"/>
    </row>
    <row r="188" spans="1:14" s="107" customFormat="1" ht="12" customHeight="1">
      <c r="A188" s="114" t="s">
        <v>343</v>
      </c>
      <c r="B188" s="115"/>
      <c r="C188" s="115">
        <v>131</v>
      </c>
      <c r="D188" s="115">
        <v>800000000</v>
      </c>
      <c r="E188" s="115"/>
      <c r="F188" s="115">
        <v>131</v>
      </c>
      <c r="G188" s="181" t="s">
        <v>526</v>
      </c>
      <c r="H188" s="125">
        <f aca="true" t="shared" si="17" ref="H188:H206">I188+J188+K188+L188+M188</f>
        <v>0</v>
      </c>
      <c r="I188" s="125">
        <v>0</v>
      </c>
      <c r="J188" s="125">
        <v>0</v>
      </c>
      <c r="K188" s="112"/>
      <c r="L188" s="111"/>
      <c r="M188" s="125">
        <v>0</v>
      </c>
      <c r="N188" s="125"/>
    </row>
    <row r="189" spans="1:14" s="121" customFormat="1" ht="12" customHeight="1">
      <c r="A189" s="114" t="s">
        <v>343</v>
      </c>
      <c r="B189" s="115"/>
      <c r="C189" s="115">
        <v>131</v>
      </c>
      <c r="D189" s="116" t="s">
        <v>523</v>
      </c>
      <c r="E189" s="115"/>
      <c r="F189" s="115">
        <v>131</v>
      </c>
      <c r="G189" s="117" t="s">
        <v>363</v>
      </c>
      <c r="H189" s="118">
        <f t="shared" si="17"/>
        <v>0</v>
      </c>
      <c r="I189" s="118">
        <v>0</v>
      </c>
      <c r="J189" s="118">
        <v>0</v>
      </c>
      <c r="K189" s="119"/>
      <c r="L189" s="123"/>
      <c r="M189" s="118">
        <v>0</v>
      </c>
      <c r="N189" s="118"/>
    </row>
    <row r="190" spans="1:14" s="107" customFormat="1" ht="26.25" customHeight="1">
      <c r="A190" s="108" t="s">
        <v>344</v>
      </c>
      <c r="B190" s="109"/>
      <c r="C190" s="109">
        <v>131</v>
      </c>
      <c r="D190" s="115">
        <v>800000000</v>
      </c>
      <c r="E190" s="109"/>
      <c r="F190" s="109">
        <v>131</v>
      </c>
      <c r="G190" s="102" t="s">
        <v>528</v>
      </c>
      <c r="H190" s="125">
        <f t="shared" si="17"/>
        <v>8963522.7</v>
      </c>
      <c r="I190" s="125">
        <f>292941+8670581.7</f>
        <v>8963522.7</v>
      </c>
      <c r="J190" s="125"/>
      <c r="K190" s="112"/>
      <c r="L190" s="111"/>
      <c r="M190" s="125"/>
      <c r="N190" s="125"/>
    </row>
    <row r="191" spans="1:14" s="107" customFormat="1" ht="26.25" customHeight="1">
      <c r="A191" s="108" t="s">
        <v>344</v>
      </c>
      <c r="B191" s="109"/>
      <c r="C191" s="109">
        <v>131</v>
      </c>
      <c r="D191" s="115">
        <v>800000000</v>
      </c>
      <c r="E191" s="109"/>
      <c r="F191" s="109">
        <v>131</v>
      </c>
      <c r="G191" s="102" t="s">
        <v>529</v>
      </c>
      <c r="H191" s="125">
        <f t="shared" si="17"/>
        <v>1712009.64</v>
      </c>
      <c r="I191" s="125">
        <f>1712009.64</f>
        <v>1712009.64</v>
      </c>
      <c r="J191" s="125"/>
      <c r="K191" s="112"/>
      <c r="L191" s="111"/>
      <c r="M191" s="125"/>
      <c r="N191" s="125"/>
    </row>
    <row r="192" spans="1:14" s="107" customFormat="1" ht="26.25" customHeight="1">
      <c r="A192" s="108" t="s">
        <v>345</v>
      </c>
      <c r="B192" s="109"/>
      <c r="C192" s="109">
        <v>131</v>
      </c>
      <c r="D192" s="115">
        <v>800000000</v>
      </c>
      <c r="E192" s="109"/>
      <c r="F192" s="109">
        <v>131</v>
      </c>
      <c r="G192" s="102" t="s">
        <v>528</v>
      </c>
      <c r="H192" s="125">
        <f t="shared" si="17"/>
        <v>11162689.2</v>
      </c>
      <c r="I192" s="125">
        <f>360180+10802509.2</f>
        <v>11162689.2</v>
      </c>
      <c r="J192" s="125"/>
      <c r="K192" s="112"/>
      <c r="L192" s="111"/>
      <c r="M192" s="125"/>
      <c r="N192" s="125"/>
    </row>
    <row r="193" spans="1:14" s="107" customFormat="1" ht="27.75" customHeight="1">
      <c r="A193" s="108" t="s">
        <v>345</v>
      </c>
      <c r="B193" s="109"/>
      <c r="C193" s="109">
        <v>131</v>
      </c>
      <c r="D193" s="115">
        <v>800000000</v>
      </c>
      <c r="E193" s="109"/>
      <c r="F193" s="109">
        <v>131</v>
      </c>
      <c r="G193" s="102" t="s">
        <v>529</v>
      </c>
      <c r="H193" s="125">
        <f t="shared" si="17"/>
        <v>1644933.36</v>
      </c>
      <c r="I193" s="125">
        <f>1644933.36</f>
        <v>1644933.36</v>
      </c>
      <c r="J193" s="125"/>
      <c r="K193" s="112"/>
      <c r="L193" s="111"/>
      <c r="M193" s="125"/>
      <c r="N193" s="125"/>
    </row>
    <row r="194" spans="1:14" s="107" customFormat="1" ht="26.25" customHeight="1">
      <c r="A194" s="108" t="s">
        <v>346</v>
      </c>
      <c r="B194" s="109"/>
      <c r="C194" s="109">
        <v>131</v>
      </c>
      <c r="D194" s="115">
        <v>800000000</v>
      </c>
      <c r="E194" s="109"/>
      <c r="F194" s="109">
        <v>131</v>
      </c>
      <c r="G194" s="102" t="s">
        <v>528</v>
      </c>
      <c r="H194" s="125">
        <f t="shared" si="17"/>
        <v>3986028.2</v>
      </c>
      <c r="I194" s="125">
        <f>122248+3863780.2</f>
        <v>3986028.2</v>
      </c>
      <c r="J194" s="125"/>
      <c r="K194" s="112"/>
      <c r="L194" s="111"/>
      <c r="M194" s="125"/>
      <c r="N194" s="125"/>
    </row>
    <row r="195" spans="1:14" s="107" customFormat="1" ht="26.25" customHeight="1">
      <c r="A195" s="108" t="s">
        <v>346</v>
      </c>
      <c r="B195" s="109"/>
      <c r="C195" s="109">
        <v>131</v>
      </c>
      <c r="D195" s="115">
        <v>800000000</v>
      </c>
      <c r="E195" s="109"/>
      <c r="F195" s="109">
        <v>131</v>
      </c>
      <c r="G195" s="102" t="s">
        <v>529</v>
      </c>
      <c r="H195" s="125">
        <f t="shared" si="17"/>
        <v>555423.64</v>
      </c>
      <c r="I195" s="125">
        <f>555423.64</f>
        <v>555423.64</v>
      </c>
      <c r="J195" s="125"/>
      <c r="K195" s="112"/>
      <c r="L195" s="111"/>
      <c r="M195" s="125"/>
      <c r="N195" s="125"/>
    </row>
    <row r="196" spans="1:14" s="107" customFormat="1" ht="12" customHeight="1">
      <c r="A196" s="108" t="s">
        <v>347</v>
      </c>
      <c r="B196" s="109"/>
      <c r="C196" s="109">
        <v>131</v>
      </c>
      <c r="D196" s="115">
        <v>800000000</v>
      </c>
      <c r="E196" s="109"/>
      <c r="F196" s="109">
        <v>131</v>
      </c>
      <c r="G196" s="110"/>
      <c r="H196" s="125">
        <f t="shared" si="17"/>
        <v>0</v>
      </c>
      <c r="I196" s="125">
        <v>0</v>
      </c>
      <c r="J196" s="125"/>
      <c r="K196" s="112"/>
      <c r="L196" s="111"/>
      <c r="M196" s="125"/>
      <c r="N196" s="125"/>
    </row>
    <row r="197" spans="1:14" s="107" customFormat="1" ht="27.75" customHeight="1">
      <c r="A197" s="126" t="s">
        <v>517</v>
      </c>
      <c r="B197" s="109"/>
      <c r="C197" s="109">
        <v>131</v>
      </c>
      <c r="D197" s="115">
        <v>800000000</v>
      </c>
      <c r="E197" s="109"/>
      <c r="F197" s="109">
        <v>131</v>
      </c>
      <c r="G197" s="110"/>
      <c r="H197" s="125">
        <f t="shared" si="17"/>
        <v>0</v>
      </c>
      <c r="I197" s="125">
        <v>0</v>
      </c>
      <c r="J197" s="125"/>
      <c r="K197" s="112"/>
      <c r="L197" s="111"/>
      <c r="M197" s="125"/>
      <c r="N197" s="125"/>
    </row>
    <row r="198" spans="1:14" s="107" customFormat="1" ht="44.25" customHeight="1">
      <c r="A198" s="108" t="s">
        <v>348</v>
      </c>
      <c r="B198" s="109"/>
      <c r="C198" s="109">
        <v>131</v>
      </c>
      <c r="D198" s="115">
        <v>800000000</v>
      </c>
      <c r="E198" s="109"/>
      <c r="F198" s="109">
        <v>131</v>
      </c>
      <c r="G198" s="110"/>
      <c r="H198" s="125">
        <f t="shared" si="17"/>
        <v>0</v>
      </c>
      <c r="I198" s="125">
        <v>0</v>
      </c>
      <c r="J198" s="125"/>
      <c r="K198" s="112"/>
      <c r="L198" s="111"/>
      <c r="M198" s="125"/>
      <c r="N198" s="125"/>
    </row>
    <row r="199" spans="1:14" s="107" customFormat="1" ht="22.5" customHeight="1">
      <c r="A199" s="114" t="s">
        <v>349</v>
      </c>
      <c r="B199" s="115"/>
      <c r="C199" s="115">
        <v>131</v>
      </c>
      <c r="D199" s="115">
        <v>800000000</v>
      </c>
      <c r="E199" s="115"/>
      <c r="F199" s="115">
        <v>131</v>
      </c>
      <c r="G199" s="122"/>
      <c r="H199" s="118">
        <f t="shared" si="17"/>
        <v>0</v>
      </c>
      <c r="I199" s="125">
        <v>0</v>
      </c>
      <c r="J199" s="125"/>
      <c r="K199" s="112"/>
      <c r="L199" s="111"/>
      <c r="M199" s="125"/>
      <c r="N199" s="125"/>
    </row>
    <row r="200" spans="1:14" s="107" customFormat="1" ht="31.5" customHeight="1">
      <c r="A200" s="127" t="s">
        <v>350</v>
      </c>
      <c r="B200" s="115"/>
      <c r="C200" s="115">
        <v>131</v>
      </c>
      <c r="D200" s="115">
        <v>800000000</v>
      </c>
      <c r="E200" s="115"/>
      <c r="F200" s="115">
        <v>131</v>
      </c>
      <c r="G200" s="122"/>
      <c r="H200" s="118">
        <f t="shared" si="17"/>
        <v>0</v>
      </c>
      <c r="I200" s="125">
        <v>0</v>
      </c>
      <c r="J200" s="125"/>
      <c r="K200" s="112"/>
      <c r="L200" s="111"/>
      <c r="M200" s="125"/>
      <c r="N200" s="125"/>
    </row>
    <row r="201" spans="1:14" s="107" customFormat="1" ht="43.5" customHeight="1">
      <c r="A201" s="114" t="s">
        <v>351</v>
      </c>
      <c r="B201" s="115"/>
      <c r="C201" s="115">
        <v>131</v>
      </c>
      <c r="D201" s="115">
        <v>800000000</v>
      </c>
      <c r="E201" s="115"/>
      <c r="F201" s="115">
        <v>131</v>
      </c>
      <c r="G201" s="122"/>
      <c r="H201" s="118">
        <f t="shared" si="17"/>
        <v>0</v>
      </c>
      <c r="I201" s="125">
        <v>0</v>
      </c>
      <c r="J201" s="125"/>
      <c r="K201" s="112"/>
      <c r="L201" s="111"/>
      <c r="M201" s="125"/>
      <c r="N201" s="125"/>
    </row>
    <row r="202" spans="1:14" s="107" customFormat="1" ht="33" customHeight="1">
      <c r="A202" s="114" t="s">
        <v>352</v>
      </c>
      <c r="B202" s="115"/>
      <c r="C202" s="115">
        <v>131</v>
      </c>
      <c r="D202" s="115">
        <v>800000000</v>
      </c>
      <c r="E202" s="115"/>
      <c r="F202" s="115">
        <v>131</v>
      </c>
      <c r="G202" s="122"/>
      <c r="H202" s="118">
        <f t="shared" si="17"/>
        <v>0</v>
      </c>
      <c r="I202" s="125">
        <v>0</v>
      </c>
      <c r="J202" s="125"/>
      <c r="K202" s="112"/>
      <c r="L202" s="111"/>
      <c r="M202" s="125"/>
      <c r="N202" s="125"/>
    </row>
    <row r="203" spans="1:14" s="107" customFormat="1" ht="25.5" customHeight="1">
      <c r="A203" s="114" t="s">
        <v>353</v>
      </c>
      <c r="B203" s="115"/>
      <c r="C203" s="115">
        <v>131</v>
      </c>
      <c r="D203" s="115">
        <v>800000000</v>
      </c>
      <c r="E203" s="115"/>
      <c r="F203" s="115">
        <v>131</v>
      </c>
      <c r="G203" s="122"/>
      <c r="H203" s="118">
        <f t="shared" si="17"/>
        <v>0</v>
      </c>
      <c r="I203" s="125">
        <v>0</v>
      </c>
      <c r="J203" s="125"/>
      <c r="K203" s="112"/>
      <c r="L203" s="111"/>
      <c r="M203" s="125"/>
      <c r="N203" s="125"/>
    </row>
    <row r="204" spans="1:14" s="107" customFormat="1" ht="25.5">
      <c r="A204" s="114" t="s">
        <v>51</v>
      </c>
      <c r="B204" s="115"/>
      <c r="C204" s="115">
        <v>131</v>
      </c>
      <c r="D204" s="115">
        <v>800000000</v>
      </c>
      <c r="E204" s="115"/>
      <c r="F204" s="115">
        <v>131</v>
      </c>
      <c r="G204" s="102" t="s">
        <v>529</v>
      </c>
      <c r="H204" s="118">
        <f t="shared" si="17"/>
        <v>805176</v>
      </c>
      <c r="I204" s="125">
        <v>805176</v>
      </c>
      <c r="J204" s="125"/>
      <c r="K204" s="112"/>
      <c r="L204" s="111"/>
      <c r="M204" s="125"/>
      <c r="N204" s="125"/>
    </row>
    <row r="205" spans="1:14" s="107" customFormat="1" ht="12.75">
      <c r="A205" s="114" t="s">
        <v>52</v>
      </c>
      <c r="B205" s="115"/>
      <c r="C205" s="115">
        <v>131</v>
      </c>
      <c r="D205" s="115">
        <v>800000000</v>
      </c>
      <c r="E205" s="115"/>
      <c r="F205" s="115">
        <v>131</v>
      </c>
      <c r="G205" s="102" t="s">
        <v>529</v>
      </c>
      <c r="H205" s="118">
        <f t="shared" si="17"/>
        <v>2959713</v>
      </c>
      <c r="I205" s="125">
        <v>2959713</v>
      </c>
      <c r="J205" s="125"/>
      <c r="K205" s="112"/>
      <c r="L205" s="111"/>
      <c r="M205" s="125"/>
      <c r="N205" s="125"/>
    </row>
    <row r="206" spans="1:14" s="128" customFormat="1" ht="12.75">
      <c r="A206" s="114" t="s">
        <v>46</v>
      </c>
      <c r="B206" s="115"/>
      <c r="C206" s="115">
        <v>131</v>
      </c>
      <c r="D206" s="116" t="s">
        <v>523</v>
      </c>
      <c r="E206" s="115"/>
      <c r="F206" s="115">
        <v>131</v>
      </c>
      <c r="G206" s="117" t="s">
        <v>363</v>
      </c>
      <c r="H206" s="118">
        <f t="shared" si="17"/>
        <v>5665000</v>
      </c>
      <c r="I206" s="118"/>
      <c r="J206" s="118"/>
      <c r="K206" s="119"/>
      <c r="L206" s="123"/>
      <c r="M206" s="118">
        <v>5665000</v>
      </c>
      <c r="N206" s="118"/>
    </row>
    <row r="207" spans="1:14" s="128" customFormat="1" ht="12.75">
      <c r="A207" s="114" t="s">
        <v>48</v>
      </c>
      <c r="B207" s="115"/>
      <c r="C207" s="115">
        <v>131</v>
      </c>
      <c r="D207" s="116" t="s">
        <v>523</v>
      </c>
      <c r="E207" s="115"/>
      <c r="F207" s="115">
        <v>131</v>
      </c>
      <c r="G207" s="117" t="s">
        <v>363</v>
      </c>
      <c r="H207" s="118">
        <f>I207+J207+K207+L207+M207</f>
        <v>0</v>
      </c>
      <c r="I207" s="118"/>
      <c r="J207" s="118"/>
      <c r="K207" s="119"/>
      <c r="L207" s="123"/>
      <c r="M207" s="118"/>
      <c r="N207" s="118"/>
    </row>
    <row r="208" spans="1:14" s="128" customFormat="1" ht="15.75" customHeight="1">
      <c r="A208" s="114" t="s">
        <v>368</v>
      </c>
      <c r="B208" s="115"/>
      <c r="C208" s="115">
        <v>134</v>
      </c>
      <c r="D208" s="116" t="s">
        <v>523</v>
      </c>
      <c r="E208" s="115"/>
      <c r="F208" s="115">
        <v>134</v>
      </c>
      <c r="G208" s="117" t="s">
        <v>363</v>
      </c>
      <c r="H208" s="118">
        <f>I208+J208+K208+L208+M208</f>
        <v>0</v>
      </c>
      <c r="I208" s="118"/>
      <c r="J208" s="118"/>
      <c r="K208" s="119"/>
      <c r="L208" s="123"/>
      <c r="M208" s="118"/>
      <c r="N208" s="118"/>
    </row>
    <row r="209" spans="1:14" s="128" customFormat="1" ht="21" customHeight="1">
      <c r="A209" s="114" t="s">
        <v>47</v>
      </c>
      <c r="B209" s="115"/>
      <c r="C209" s="115">
        <v>135</v>
      </c>
      <c r="D209" s="116" t="s">
        <v>523</v>
      </c>
      <c r="E209" s="115"/>
      <c r="F209" s="115">
        <v>135</v>
      </c>
      <c r="G209" s="117" t="s">
        <v>363</v>
      </c>
      <c r="H209" s="118">
        <f>I209+J209+K209+L209+M209</f>
        <v>360000</v>
      </c>
      <c r="I209" s="118"/>
      <c r="J209" s="118"/>
      <c r="K209" s="119"/>
      <c r="L209" s="123"/>
      <c r="M209" s="118">
        <v>360000</v>
      </c>
      <c r="N209" s="118"/>
    </row>
    <row r="210" spans="1:14" s="134" customFormat="1" ht="21.75" customHeight="1">
      <c r="A210" s="129" t="s">
        <v>432</v>
      </c>
      <c r="B210" s="130">
        <v>130</v>
      </c>
      <c r="C210" s="130">
        <v>140</v>
      </c>
      <c r="D210" s="116" t="s">
        <v>523</v>
      </c>
      <c r="E210" s="130"/>
      <c r="F210" s="130">
        <v>140</v>
      </c>
      <c r="G210" s="131" t="s">
        <v>363</v>
      </c>
      <c r="H210" s="132">
        <f>M210</f>
        <v>0</v>
      </c>
      <c r="I210" s="130" t="s">
        <v>74</v>
      </c>
      <c r="J210" s="130" t="s">
        <v>74</v>
      </c>
      <c r="K210" s="130" t="s">
        <v>74</v>
      </c>
      <c r="L210" s="130" t="s">
        <v>74</v>
      </c>
      <c r="M210" s="133">
        <f>M212+M213+M214+M215+M216</f>
        <v>0</v>
      </c>
      <c r="N210" s="130" t="s">
        <v>74</v>
      </c>
    </row>
    <row r="211" spans="1:14" s="128" customFormat="1" ht="12.75">
      <c r="A211" s="114" t="s">
        <v>364</v>
      </c>
      <c r="B211" s="115"/>
      <c r="C211" s="115"/>
      <c r="D211" s="116"/>
      <c r="E211" s="115"/>
      <c r="F211" s="115"/>
      <c r="G211" s="122"/>
      <c r="H211" s="118"/>
      <c r="I211" s="122"/>
      <c r="J211" s="115"/>
      <c r="K211" s="119"/>
      <c r="L211" s="123"/>
      <c r="M211" s="118"/>
      <c r="N211" s="123"/>
    </row>
    <row r="212" spans="1:14" s="128" customFormat="1" ht="51">
      <c r="A212" s="114" t="s">
        <v>369</v>
      </c>
      <c r="B212" s="115"/>
      <c r="C212" s="115">
        <v>141</v>
      </c>
      <c r="D212" s="116" t="s">
        <v>523</v>
      </c>
      <c r="E212" s="115"/>
      <c r="F212" s="115">
        <v>141</v>
      </c>
      <c r="G212" s="117" t="s">
        <v>363</v>
      </c>
      <c r="H212" s="118">
        <f>I212+J212+K212+L212+M212</f>
        <v>0</v>
      </c>
      <c r="I212" s="122"/>
      <c r="J212" s="115"/>
      <c r="K212" s="119"/>
      <c r="L212" s="123"/>
      <c r="M212" s="118"/>
      <c r="N212" s="123"/>
    </row>
    <row r="213" spans="1:14" s="128" customFormat="1" ht="25.5">
      <c r="A213" s="114" t="s">
        <v>370</v>
      </c>
      <c r="B213" s="115"/>
      <c r="C213" s="115">
        <v>142</v>
      </c>
      <c r="D213" s="116" t="s">
        <v>523</v>
      </c>
      <c r="E213" s="115"/>
      <c r="F213" s="115">
        <v>142</v>
      </c>
      <c r="G213" s="117" t="s">
        <v>363</v>
      </c>
      <c r="H213" s="118">
        <f>I213+J213+K213+L213+M213</f>
        <v>0</v>
      </c>
      <c r="I213" s="122"/>
      <c r="J213" s="115"/>
      <c r="K213" s="119"/>
      <c r="L213" s="123"/>
      <c r="M213" s="118"/>
      <c r="N213" s="123"/>
    </row>
    <row r="214" spans="1:14" s="128" customFormat="1" ht="15" customHeight="1">
      <c r="A214" s="114" t="s">
        <v>371</v>
      </c>
      <c r="B214" s="115"/>
      <c r="C214" s="115">
        <v>143</v>
      </c>
      <c r="D214" s="116" t="s">
        <v>523</v>
      </c>
      <c r="E214" s="115"/>
      <c r="F214" s="115">
        <v>143</v>
      </c>
      <c r="G214" s="117" t="s">
        <v>363</v>
      </c>
      <c r="H214" s="118">
        <f>I214+J214+K214+L214+M214</f>
        <v>0</v>
      </c>
      <c r="I214" s="122"/>
      <c r="J214" s="115"/>
      <c r="K214" s="119"/>
      <c r="L214" s="123"/>
      <c r="M214" s="118"/>
      <c r="N214" s="123"/>
    </row>
    <row r="215" spans="1:14" s="128" customFormat="1" ht="15" customHeight="1">
      <c r="A215" s="114" t="s">
        <v>372</v>
      </c>
      <c r="B215" s="115"/>
      <c r="C215" s="115">
        <v>144</v>
      </c>
      <c r="D215" s="116" t="s">
        <v>523</v>
      </c>
      <c r="E215" s="115"/>
      <c r="F215" s="115">
        <v>144</v>
      </c>
      <c r="G215" s="117" t="s">
        <v>363</v>
      </c>
      <c r="H215" s="118">
        <f>I215+J215+K215+L215+M215</f>
        <v>0</v>
      </c>
      <c r="I215" s="122"/>
      <c r="J215" s="115"/>
      <c r="K215" s="119"/>
      <c r="L215" s="123"/>
      <c r="M215" s="118"/>
      <c r="N215" s="123"/>
    </row>
    <row r="216" spans="1:14" s="128" customFormat="1" ht="15" customHeight="1">
      <c r="A216" s="114" t="s">
        <v>373</v>
      </c>
      <c r="B216" s="115"/>
      <c r="C216" s="115">
        <v>145</v>
      </c>
      <c r="D216" s="116" t="s">
        <v>523</v>
      </c>
      <c r="E216" s="115"/>
      <c r="F216" s="115">
        <v>145</v>
      </c>
      <c r="G216" s="117" t="s">
        <v>363</v>
      </c>
      <c r="H216" s="118">
        <f>I216+J216+K216+L216+M216</f>
        <v>0</v>
      </c>
      <c r="I216" s="122"/>
      <c r="J216" s="115"/>
      <c r="K216" s="119"/>
      <c r="L216" s="123"/>
      <c r="M216" s="118"/>
      <c r="N216" s="123"/>
    </row>
    <row r="217" spans="1:14" s="107" customFormat="1" ht="40.5" customHeight="1">
      <c r="A217" s="114" t="s">
        <v>49</v>
      </c>
      <c r="B217" s="115">
        <v>140</v>
      </c>
      <c r="C217" s="115"/>
      <c r="D217" s="116" t="s">
        <v>523</v>
      </c>
      <c r="E217" s="115"/>
      <c r="F217" s="115"/>
      <c r="G217" s="122"/>
      <c r="H217" s="118">
        <f>M217</f>
        <v>0</v>
      </c>
      <c r="I217" s="109" t="s">
        <v>74</v>
      </c>
      <c r="J217" s="109" t="s">
        <v>74</v>
      </c>
      <c r="K217" s="109" t="s">
        <v>74</v>
      </c>
      <c r="L217" s="109" t="s">
        <v>74</v>
      </c>
      <c r="M217" s="109"/>
      <c r="N217" s="109" t="s">
        <v>74</v>
      </c>
    </row>
    <row r="218" spans="1:14" s="107" customFormat="1" ht="27.75" customHeight="1">
      <c r="A218" s="114" t="s">
        <v>167</v>
      </c>
      <c r="B218" s="115">
        <v>150</v>
      </c>
      <c r="C218" s="115">
        <v>150</v>
      </c>
      <c r="D218" s="115">
        <v>901000000</v>
      </c>
      <c r="E218" s="115"/>
      <c r="F218" s="115">
        <v>150</v>
      </c>
      <c r="G218" s="122"/>
      <c r="H218" s="118">
        <f>J218+K218</f>
        <v>0</v>
      </c>
      <c r="I218" s="109" t="s">
        <v>74</v>
      </c>
      <c r="J218" s="135">
        <f>SUM(J219:J224)</f>
        <v>0</v>
      </c>
      <c r="K218" s="109">
        <f>K219</f>
        <v>0</v>
      </c>
      <c r="L218" s="109" t="s">
        <v>74</v>
      </c>
      <c r="M218" s="109" t="s">
        <v>74</v>
      </c>
      <c r="N218" s="109" t="s">
        <v>74</v>
      </c>
    </row>
    <row r="219" spans="1:14" s="107" customFormat="1" ht="21.75" customHeight="1">
      <c r="A219" s="114" t="s">
        <v>167</v>
      </c>
      <c r="B219" s="115">
        <v>150</v>
      </c>
      <c r="C219" s="115">
        <v>152</v>
      </c>
      <c r="D219" s="115">
        <v>901480000</v>
      </c>
      <c r="E219" s="115"/>
      <c r="F219" s="115">
        <v>152</v>
      </c>
      <c r="G219" s="122" t="s">
        <v>528</v>
      </c>
      <c r="H219" s="118">
        <f>J219+K219</f>
        <v>0</v>
      </c>
      <c r="I219" s="109"/>
      <c r="J219" s="125">
        <v>0</v>
      </c>
      <c r="K219" s="112"/>
      <c r="L219" s="109" t="s">
        <v>74</v>
      </c>
      <c r="M219" s="109" t="s">
        <v>74</v>
      </c>
      <c r="N219" s="109" t="s">
        <v>74</v>
      </c>
    </row>
    <row r="220" spans="1:14" s="107" customFormat="1" ht="21.75" customHeight="1">
      <c r="A220" s="114" t="s">
        <v>167</v>
      </c>
      <c r="B220" s="115">
        <v>150</v>
      </c>
      <c r="C220" s="115">
        <v>152</v>
      </c>
      <c r="D220" s="115">
        <v>901160000</v>
      </c>
      <c r="E220" s="115"/>
      <c r="F220" s="115">
        <v>152</v>
      </c>
      <c r="G220" s="122" t="s">
        <v>528</v>
      </c>
      <c r="H220" s="118">
        <f aca="true" t="shared" si="18" ref="H220:H225">J220+K220</f>
        <v>0</v>
      </c>
      <c r="I220" s="109"/>
      <c r="J220" s="125">
        <v>0</v>
      </c>
      <c r="K220" s="112"/>
      <c r="L220" s="109" t="s">
        <v>74</v>
      </c>
      <c r="M220" s="109" t="s">
        <v>74</v>
      </c>
      <c r="N220" s="109" t="s">
        <v>74</v>
      </c>
    </row>
    <row r="221" spans="1:14" s="107" customFormat="1" ht="21.75" customHeight="1">
      <c r="A221" s="114" t="s">
        <v>167</v>
      </c>
      <c r="B221" s="115">
        <v>150</v>
      </c>
      <c r="C221" s="115">
        <v>152</v>
      </c>
      <c r="D221" s="115">
        <v>901830000</v>
      </c>
      <c r="E221" s="115"/>
      <c r="F221" s="115">
        <v>152</v>
      </c>
      <c r="G221" s="122" t="s">
        <v>528</v>
      </c>
      <c r="H221" s="118">
        <f t="shared" si="18"/>
        <v>0</v>
      </c>
      <c r="I221" s="109"/>
      <c r="J221" s="125">
        <v>0</v>
      </c>
      <c r="K221" s="112"/>
      <c r="L221" s="109" t="s">
        <v>74</v>
      </c>
      <c r="M221" s="109" t="s">
        <v>74</v>
      </c>
      <c r="N221" s="109" t="s">
        <v>74</v>
      </c>
    </row>
    <row r="222" spans="1:14" s="107" customFormat="1" ht="21.75" customHeight="1">
      <c r="A222" s="114" t="s">
        <v>167</v>
      </c>
      <c r="B222" s="115">
        <v>150</v>
      </c>
      <c r="C222" s="115">
        <v>152</v>
      </c>
      <c r="D222" s="115">
        <v>901210000</v>
      </c>
      <c r="E222" s="115"/>
      <c r="F222" s="115">
        <v>152</v>
      </c>
      <c r="G222" s="117" t="s">
        <v>530</v>
      </c>
      <c r="H222" s="118">
        <f t="shared" si="18"/>
        <v>0</v>
      </c>
      <c r="I222" s="109"/>
      <c r="J222" s="125">
        <v>0</v>
      </c>
      <c r="K222" s="112"/>
      <c r="L222" s="109" t="s">
        <v>74</v>
      </c>
      <c r="M222" s="109" t="s">
        <v>74</v>
      </c>
      <c r="N222" s="109" t="s">
        <v>74</v>
      </c>
    </row>
    <row r="223" spans="1:14" s="107" customFormat="1" ht="21.75" customHeight="1">
      <c r="A223" s="114" t="s">
        <v>167</v>
      </c>
      <c r="B223" s="115">
        <v>150</v>
      </c>
      <c r="C223" s="115">
        <v>152</v>
      </c>
      <c r="D223" s="115">
        <v>901150000</v>
      </c>
      <c r="E223" s="115"/>
      <c r="F223" s="115">
        <v>152</v>
      </c>
      <c r="G223" s="122" t="s">
        <v>528</v>
      </c>
      <c r="H223" s="118">
        <f t="shared" si="18"/>
        <v>0</v>
      </c>
      <c r="I223" s="109"/>
      <c r="J223" s="125">
        <v>0</v>
      </c>
      <c r="K223" s="112"/>
      <c r="L223" s="109" t="s">
        <v>74</v>
      </c>
      <c r="M223" s="109" t="s">
        <v>74</v>
      </c>
      <c r="N223" s="109" t="s">
        <v>74</v>
      </c>
    </row>
    <row r="224" spans="1:14" s="107" customFormat="1" ht="21.75" customHeight="1">
      <c r="A224" s="114" t="s">
        <v>167</v>
      </c>
      <c r="B224" s="115">
        <v>150</v>
      </c>
      <c r="C224" s="115">
        <v>152</v>
      </c>
      <c r="D224" s="115">
        <v>901140000</v>
      </c>
      <c r="E224" s="115"/>
      <c r="F224" s="115">
        <v>152</v>
      </c>
      <c r="G224" s="122" t="s">
        <v>528</v>
      </c>
      <c r="H224" s="118">
        <f t="shared" si="18"/>
        <v>0</v>
      </c>
      <c r="I224" s="109"/>
      <c r="J224" s="125">
        <v>0</v>
      </c>
      <c r="K224" s="112"/>
      <c r="L224" s="109" t="s">
        <v>74</v>
      </c>
      <c r="M224" s="109" t="s">
        <v>74</v>
      </c>
      <c r="N224" s="109" t="s">
        <v>74</v>
      </c>
    </row>
    <row r="225" spans="1:14" s="107" customFormat="1" ht="21.75" customHeight="1">
      <c r="A225" s="114" t="s">
        <v>167</v>
      </c>
      <c r="B225" s="115">
        <v>150</v>
      </c>
      <c r="C225" s="115">
        <v>152</v>
      </c>
      <c r="D225" s="115">
        <v>901750000</v>
      </c>
      <c r="E225" s="115"/>
      <c r="F225" s="115">
        <v>152</v>
      </c>
      <c r="G225" s="122" t="s">
        <v>536</v>
      </c>
      <c r="H225" s="118">
        <f t="shared" si="18"/>
        <v>0</v>
      </c>
      <c r="I225" s="109"/>
      <c r="J225" s="125">
        <v>0</v>
      </c>
      <c r="K225" s="112"/>
      <c r="L225" s="109"/>
      <c r="M225" s="110"/>
      <c r="N225" s="110"/>
    </row>
    <row r="226" spans="1:14" s="128" customFormat="1" ht="21.75" customHeight="1">
      <c r="A226" s="114" t="s">
        <v>210</v>
      </c>
      <c r="B226" s="115">
        <v>160</v>
      </c>
      <c r="C226" s="115">
        <v>180</v>
      </c>
      <c r="D226" s="116" t="s">
        <v>523</v>
      </c>
      <c r="E226" s="115"/>
      <c r="F226" s="115">
        <v>180</v>
      </c>
      <c r="G226" s="117" t="s">
        <v>363</v>
      </c>
      <c r="H226" s="118">
        <f aca="true" t="shared" si="19" ref="H226:H232">M226</f>
        <v>0</v>
      </c>
      <c r="I226" s="115" t="s">
        <v>74</v>
      </c>
      <c r="J226" s="115" t="s">
        <v>74</v>
      </c>
      <c r="K226" s="115" t="s">
        <v>74</v>
      </c>
      <c r="L226" s="115" t="s">
        <v>74</v>
      </c>
      <c r="M226" s="118">
        <f>M227+M228</f>
        <v>0</v>
      </c>
      <c r="N226" s="118">
        <f>N227+N228</f>
        <v>0</v>
      </c>
    </row>
    <row r="227" spans="1:14" s="128" customFormat="1" ht="15" customHeight="1">
      <c r="A227" s="136" t="s">
        <v>133</v>
      </c>
      <c r="B227" s="115"/>
      <c r="C227" s="115">
        <v>189</v>
      </c>
      <c r="D227" s="116" t="s">
        <v>523</v>
      </c>
      <c r="E227" s="115"/>
      <c r="F227" s="115">
        <v>189</v>
      </c>
      <c r="G227" s="117" t="s">
        <v>363</v>
      </c>
      <c r="H227" s="118">
        <f t="shared" si="19"/>
        <v>0</v>
      </c>
      <c r="I227" s="118"/>
      <c r="J227" s="118"/>
      <c r="K227" s="119"/>
      <c r="L227" s="123"/>
      <c r="M227" s="118"/>
      <c r="N227" s="118"/>
    </row>
    <row r="228" spans="1:14" s="128" customFormat="1" ht="15" customHeight="1">
      <c r="A228" s="136" t="s">
        <v>134</v>
      </c>
      <c r="B228" s="115"/>
      <c r="C228" s="115">
        <v>189</v>
      </c>
      <c r="D228" s="116" t="s">
        <v>523</v>
      </c>
      <c r="E228" s="115"/>
      <c r="F228" s="115">
        <v>189</v>
      </c>
      <c r="G228" s="117" t="s">
        <v>363</v>
      </c>
      <c r="H228" s="118">
        <f t="shared" si="19"/>
        <v>0</v>
      </c>
      <c r="I228" s="118"/>
      <c r="J228" s="118"/>
      <c r="K228" s="119"/>
      <c r="L228" s="123"/>
      <c r="M228" s="118"/>
      <c r="N228" s="118"/>
    </row>
    <row r="229" spans="1:14" s="128" customFormat="1" ht="23.25" customHeight="1">
      <c r="A229" s="114" t="s">
        <v>211</v>
      </c>
      <c r="B229" s="115">
        <v>180</v>
      </c>
      <c r="C229" s="115">
        <v>400</v>
      </c>
      <c r="D229" s="116" t="s">
        <v>523</v>
      </c>
      <c r="E229" s="115" t="s">
        <v>74</v>
      </c>
      <c r="F229" s="115">
        <v>400</v>
      </c>
      <c r="G229" s="117" t="s">
        <v>363</v>
      </c>
      <c r="H229" s="118">
        <f t="shared" si="19"/>
        <v>0</v>
      </c>
      <c r="I229" s="115" t="s">
        <v>74</v>
      </c>
      <c r="J229" s="115" t="s">
        <v>74</v>
      </c>
      <c r="K229" s="115" t="s">
        <v>74</v>
      </c>
      <c r="L229" s="115" t="s">
        <v>74</v>
      </c>
      <c r="M229" s="118">
        <f>M230+M231+M232+M234+M233</f>
        <v>0</v>
      </c>
      <c r="N229" s="115" t="s">
        <v>74</v>
      </c>
    </row>
    <row r="230" spans="1:14" s="128" customFormat="1" ht="15" customHeight="1">
      <c r="A230" s="137" t="s">
        <v>374</v>
      </c>
      <c r="B230" s="115"/>
      <c r="C230" s="115">
        <v>410</v>
      </c>
      <c r="D230" s="116" t="s">
        <v>523</v>
      </c>
      <c r="E230" s="115"/>
      <c r="F230" s="115">
        <v>410</v>
      </c>
      <c r="G230" s="117" t="s">
        <v>363</v>
      </c>
      <c r="H230" s="118">
        <f t="shared" si="19"/>
        <v>0</v>
      </c>
      <c r="I230" s="118"/>
      <c r="J230" s="118"/>
      <c r="K230" s="119"/>
      <c r="L230" s="123"/>
      <c r="M230" s="118"/>
      <c r="N230" s="118"/>
    </row>
    <row r="231" spans="1:14" s="128" customFormat="1" ht="15" customHeight="1">
      <c r="A231" s="137" t="s">
        <v>375</v>
      </c>
      <c r="B231" s="115"/>
      <c r="C231" s="115">
        <v>420</v>
      </c>
      <c r="D231" s="116" t="s">
        <v>523</v>
      </c>
      <c r="E231" s="115"/>
      <c r="F231" s="115">
        <v>420</v>
      </c>
      <c r="G231" s="117" t="s">
        <v>363</v>
      </c>
      <c r="H231" s="118">
        <f t="shared" si="19"/>
        <v>0</v>
      </c>
      <c r="I231" s="118"/>
      <c r="J231" s="118"/>
      <c r="K231" s="119"/>
      <c r="L231" s="123"/>
      <c r="M231" s="118"/>
      <c r="N231" s="118"/>
    </row>
    <row r="232" spans="1:14" s="128" customFormat="1" ht="15" customHeight="1">
      <c r="A232" s="137" t="s">
        <v>376</v>
      </c>
      <c r="B232" s="115"/>
      <c r="C232" s="115">
        <v>430</v>
      </c>
      <c r="D232" s="116" t="s">
        <v>523</v>
      </c>
      <c r="E232" s="115"/>
      <c r="F232" s="115">
        <v>430</v>
      </c>
      <c r="G232" s="117" t="s">
        <v>363</v>
      </c>
      <c r="H232" s="118">
        <f t="shared" si="19"/>
        <v>0</v>
      </c>
      <c r="I232" s="118"/>
      <c r="J232" s="118"/>
      <c r="K232" s="119"/>
      <c r="L232" s="123"/>
      <c r="M232" s="118"/>
      <c r="N232" s="118"/>
    </row>
    <row r="233" spans="1:14" s="121" customFormat="1" ht="15" customHeight="1">
      <c r="A233" s="137" t="s">
        <v>425</v>
      </c>
      <c r="B233" s="115"/>
      <c r="C233" s="115">
        <v>440</v>
      </c>
      <c r="D233" s="116" t="s">
        <v>523</v>
      </c>
      <c r="E233" s="115"/>
      <c r="F233" s="115">
        <v>440</v>
      </c>
      <c r="G233" s="117" t="s">
        <v>363</v>
      </c>
      <c r="H233" s="118">
        <f>M233</f>
        <v>0</v>
      </c>
      <c r="I233" s="118"/>
      <c r="J233" s="118"/>
      <c r="K233" s="119"/>
      <c r="L233" s="123"/>
      <c r="M233" s="118"/>
      <c r="N233" s="118"/>
    </row>
    <row r="234" spans="1:14" s="128" customFormat="1" ht="15" customHeight="1">
      <c r="A234" s="137" t="s">
        <v>377</v>
      </c>
      <c r="B234" s="115"/>
      <c r="C234" s="115">
        <v>450</v>
      </c>
      <c r="D234" s="116" t="s">
        <v>523</v>
      </c>
      <c r="E234" s="115"/>
      <c r="F234" s="115">
        <v>450</v>
      </c>
      <c r="G234" s="117" t="s">
        <v>363</v>
      </c>
      <c r="H234" s="118">
        <f>M234</f>
        <v>0</v>
      </c>
      <c r="I234" s="118"/>
      <c r="J234" s="118"/>
      <c r="K234" s="119"/>
      <c r="L234" s="123"/>
      <c r="M234" s="118"/>
      <c r="N234" s="118"/>
    </row>
    <row r="235" spans="1:14" s="8" customFormat="1" ht="11.25" customHeight="1">
      <c r="A235" s="138" t="s">
        <v>44</v>
      </c>
      <c r="B235" s="139">
        <v>200</v>
      </c>
      <c r="C235" s="139"/>
      <c r="D235" s="139"/>
      <c r="E235" s="139"/>
      <c r="F235" s="140"/>
      <c r="G235" s="140"/>
      <c r="H235" s="141">
        <f aca="true" t="shared" si="20" ref="H235:N235">H237+H253+H260+H274+H275+H279</f>
        <v>38565022.099999994</v>
      </c>
      <c r="I235" s="141">
        <f t="shared" si="20"/>
        <v>31789495.74</v>
      </c>
      <c r="J235" s="141">
        <f t="shared" si="20"/>
        <v>0</v>
      </c>
      <c r="K235" s="141">
        <f t="shared" si="20"/>
        <v>0</v>
      </c>
      <c r="L235" s="141">
        <f t="shared" si="20"/>
        <v>0</v>
      </c>
      <c r="M235" s="141">
        <f t="shared" si="20"/>
        <v>6775526.359999999</v>
      </c>
      <c r="N235" s="141">
        <f t="shared" si="20"/>
        <v>0</v>
      </c>
    </row>
    <row r="236" spans="1:14" s="8" customFormat="1" ht="13.5" customHeight="1">
      <c r="A236" s="142" t="s">
        <v>4</v>
      </c>
      <c r="B236" s="109"/>
      <c r="C236" s="109"/>
      <c r="D236" s="109"/>
      <c r="E236" s="109"/>
      <c r="F236" s="109"/>
      <c r="G236" s="110"/>
      <c r="H236" s="125"/>
      <c r="I236" s="125"/>
      <c r="J236" s="125"/>
      <c r="K236" s="113"/>
      <c r="L236" s="113"/>
      <c r="M236" s="113"/>
      <c r="N236" s="113"/>
    </row>
    <row r="237" spans="1:14" s="8" customFormat="1" ht="13.5" customHeight="1">
      <c r="A237" s="142" t="s">
        <v>296</v>
      </c>
      <c r="B237" s="109">
        <v>210</v>
      </c>
      <c r="C237" s="109"/>
      <c r="D237" s="109"/>
      <c r="E237" s="109"/>
      <c r="F237" s="109"/>
      <c r="G237" s="110"/>
      <c r="H237" s="125">
        <f>H239</f>
        <v>26108364.359999996</v>
      </c>
      <c r="I237" s="125">
        <f aca="true" t="shared" si="21" ref="I237:N237">I239</f>
        <v>23336871.099999998</v>
      </c>
      <c r="J237" s="125">
        <f t="shared" si="21"/>
        <v>0</v>
      </c>
      <c r="K237" s="125">
        <f t="shared" si="21"/>
        <v>0</v>
      </c>
      <c r="L237" s="125">
        <f t="shared" si="21"/>
        <v>0</v>
      </c>
      <c r="M237" s="125">
        <f t="shared" si="21"/>
        <v>2771493.26</v>
      </c>
      <c r="N237" s="125">
        <f t="shared" si="21"/>
        <v>0</v>
      </c>
    </row>
    <row r="238" spans="1:14" s="8" customFormat="1" ht="13.5" customHeight="1">
      <c r="A238" s="143" t="s">
        <v>3</v>
      </c>
      <c r="B238" s="115"/>
      <c r="C238" s="115"/>
      <c r="D238" s="115"/>
      <c r="E238" s="115"/>
      <c r="F238" s="115"/>
      <c r="G238" s="122"/>
      <c r="H238" s="118"/>
      <c r="I238" s="125"/>
      <c r="J238" s="125"/>
      <c r="K238" s="113"/>
      <c r="L238" s="113"/>
      <c r="M238" s="113"/>
      <c r="N238" s="113"/>
    </row>
    <row r="239" spans="1:14" s="8" customFormat="1" ht="25.5" customHeight="1">
      <c r="A239" s="143" t="s">
        <v>297</v>
      </c>
      <c r="B239" s="115">
        <v>211</v>
      </c>
      <c r="C239" s="115"/>
      <c r="D239" s="115"/>
      <c r="E239" s="115"/>
      <c r="F239" s="115"/>
      <c r="G239" s="122"/>
      <c r="H239" s="118">
        <f>SUM(H241:H252)</f>
        <v>26108364.359999996</v>
      </c>
      <c r="I239" s="125">
        <f>I241+I246+I247+I248</f>
        <v>23336871.099999998</v>
      </c>
      <c r="J239" s="125">
        <f>SUM(J241:J251)</f>
        <v>0</v>
      </c>
      <c r="K239" s="125">
        <f>K241+K246+K247+K248</f>
        <v>0</v>
      </c>
      <c r="L239" s="125">
        <f>L241+L246+L247+L248</f>
        <v>0</v>
      </c>
      <c r="M239" s="125">
        <f>SUM(M241:M252)</f>
        <v>2771493.26</v>
      </c>
      <c r="N239" s="125">
        <f>N241+N246+N247+N248</f>
        <v>0</v>
      </c>
    </row>
    <row r="240" spans="1:14" s="8" customFormat="1" ht="16.5" customHeight="1">
      <c r="A240" s="143" t="s">
        <v>4</v>
      </c>
      <c r="B240" s="115"/>
      <c r="C240" s="115"/>
      <c r="D240" s="115"/>
      <c r="E240" s="115"/>
      <c r="F240" s="115"/>
      <c r="G240" s="122"/>
      <c r="H240" s="118"/>
      <c r="I240" s="125"/>
      <c r="J240" s="125"/>
      <c r="K240" s="113"/>
      <c r="L240" s="113"/>
      <c r="M240" s="113"/>
      <c r="N240" s="113"/>
    </row>
    <row r="241" spans="1:14" s="8" customFormat="1" ht="16.5" customHeight="1">
      <c r="A241" s="143" t="s">
        <v>298</v>
      </c>
      <c r="B241" s="115"/>
      <c r="C241" s="115">
        <v>211</v>
      </c>
      <c r="D241" s="115">
        <v>800000000</v>
      </c>
      <c r="E241" s="115">
        <v>111</v>
      </c>
      <c r="F241" s="115">
        <v>211</v>
      </c>
      <c r="G241" s="102" t="s">
        <v>525</v>
      </c>
      <c r="H241" s="118">
        <f>I241+J241+K241+L241+M241+N241</f>
        <v>17923864.13</v>
      </c>
      <c r="I241" s="125">
        <v>17923864.13</v>
      </c>
      <c r="J241" s="125"/>
      <c r="K241" s="113"/>
      <c r="L241" s="113"/>
      <c r="M241" s="113"/>
      <c r="N241" s="113"/>
    </row>
    <row r="242" spans="1:14" s="8" customFormat="1" ht="16.5" customHeight="1">
      <c r="A242" s="143" t="s">
        <v>298</v>
      </c>
      <c r="B242" s="115"/>
      <c r="C242" s="115">
        <v>211</v>
      </c>
      <c r="D242" s="115">
        <v>901480000</v>
      </c>
      <c r="E242" s="115">
        <v>111</v>
      </c>
      <c r="F242" s="115">
        <v>211</v>
      </c>
      <c r="G242" s="102" t="s">
        <v>525</v>
      </c>
      <c r="H242" s="118">
        <f>SUM(I242:J242)</f>
        <v>0</v>
      </c>
      <c r="I242" s="125"/>
      <c r="J242" s="125">
        <v>0</v>
      </c>
      <c r="K242" s="113"/>
      <c r="L242" s="113"/>
      <c r="M242" s="113"/>
      <c r="N242" s="113"/>
    </row>
    <row r="243" spans="1:14" s="8" customFormat="1" ht="16.5" customHeight="1">
      <c r="A243" s="143" t="s">
        <v>298</v>
      </c>
      <c r="B243" s="115"/>
      <c r="C243" s="115">
        <v>211</v>
      </c>
      <c r="D243" s="115">
        <v>901160000</v>
      </c>
      <c r="E243" s="115">
        <v>111</v>
      </c>
      <c r="F243" s="115">
        <v>211</v>
      </c>
      <c r="G243" s="102" t="s">
        <v>525</v>
      </c>
      <c r="H243" s="118">
        <f>SUM(I243:J243)</f>
        <v>0</v>
      </c>
      <c r="I243" s="125"/>
      <c r="J243" s="125">
        <v>0</v>
      </c>
      <c r="K243" s="113"/>
      <c r="L243" s="113"/>
      <c r="M243" s="113"/>
      <c r="N243" s="113"/>
    </row>
    <row r="244" spans="1:14" s="8" customFormat="1" ht="16.5" customHeight="1">
      <c r="A244" s="143" t="s">
        <v>298</v>
      </c>
      <c r="B244" s="115"/>
      <c r="C244" s="115">
        <v>211</v>
      </c>
      <c r="D244" s="115">
        <v>901830000</v>
      </c>
      <c r="E244" s="115">
        <v>111</v>
      </c>
      <c r="F244" s="115">
        <v>211</v>
      </c>
      <c r="G244" s="102" t="s">
        <v>525</v>
      </c>
      <c r="H244" s="118">
        <f>SUM(I244:J244)</f>
        <v>0</v>
      </c>
      <c r="I244" s="125"/>
      <c r="J244" s="125">
        <v>0</v>
      </c>
      <c r="K244" s="113"/>
      <c r="L244" s="113"/>
      <c r="M244" s="113"/>
      <c r="N244" s="113"/>
    </row>
    <row r="245" spans="1:14" s="8" customFormat="1" ht="16.5" customHeight="1">
      <c r="A245" s="143" t="s">
        <v>298</v>
      </c>
      <c r="B245" s="115"/>
      <c r="C245" s="115">
        <v>211</v>
      </c>
      <c r="D245" s="116" t="s">
        <v>523</v>
      </c>
      <c r="E245" s="115">
        <v>111</v>
      </c>
      <c r="F245" s="115">
        <v>211</v>
      </c>
      <c r="G245" s="102" t="s">
        <v>532</v>
      </c>
      <c r="H245" s="118">
        <f>SUM(I245:M245)</f>
        <v>2128645.86</v>
      </c>
      <c r="I245" s="125"/>
      <c r="J245" s="125"/>
      <c r="K245" s="113"/>
      <c r="L245" s="113"/>
      <c r="M245" s="113">
        <v>2128645.86</v>
      </c>
      <c r="N245" s="113"/>
    </row>
    <row r="246" spans="1:14" s="8" customFormat="1" ht="16.5" customHeight="1">
      <c r="A246" s="143" t="s">
        <v>299</v>
      </c>
      <c r="B246" s="115"/>
      <c r="C246" s="115">
        <v>211</v>
      </c>
      <c r="D246" s="115"/>
      <c r="E246" s="115">
        <v>111</v>
      </c>
      <c r="F246" s="115">
        <v>211</v>
      </c>
      <c r="G246" s="122"/>
      <c r="H246" s="118">
        <f>I246+J246+K246+L246+M246+N246</f>
        <v>0</v>
      </c>
      <c r="I246" s="125"/>
      <c r="J246" s="125"/>
      <c r="K246" s="113"/>
      <c r="L246" s="113"/>
      <c r="M246" s="113"/>
      <c r="N246" s="113"/>
    </row>
    <row r="247" spans="1:14" s="8" customFormat="1" ht="54" customHeight="1">
      <c r="A247" s="143" t="s">
        <v>300</v>
      </c>
      <c r="B247" s="115"/>
      <c r="C247" s="115"/>
      <c r="D247" s="115"/>
      <c r="E247" s="115"/>
      <c r="F247" s="115"/>
      <c r="G247" s="122"/>
      <c r="H247" s="118">
        <f>I247+J247+K247+L247+M247+N247</f>
        <v>0</v>
      </c>
      <c r="I247" s="125"/>
      <c r="J247" s="125">
        <v>0</v>
      </c>
      <c r="K247" s="113"/>
      <c r="L247" s="113"/>
      <c r="M247" s="113"/>
      <c r="N247" s="113"/>
    </row>
    <row r="248" spans="1:14" s="8" customFormat="1" ht="15.75" customHeight="1">
      <c r="A248" s="143" t="s">
        <v>301</v>
      </c>
      <c r="B248" s="115"/>
      <c r="C248" s="115">
        <v>213</v>
      </c>
      <c r="D248" s="115">
        <v>800000000</v>
      </c>
      <c r="E248" s="115">
        <v>119</v>
      </c>
      <c r="F248" s="115">
        <v>213</v>
      </c>
      <c r="G248" s="102" t="s">
        <v>525</v>
      </c>
      <c r="H248" s="118">
        <f>I248+J248+K248+L248+M248+N248</f>
        <v>5413006.97</v>
      </c>
      <c r="I248" s="125">
        <v>5413006.97</v>
      </c>
      <c r="J248" s="125"/>
      <c r="K248" s="113"/>
      <c r="L248" s="113"/>
      <c r="M248" s="113"/>
      <c r="N248" s="113"/>
    </row>
    <row r="249" spans="1:14" s="8" customFormat="1" ht="15.75" customHeight="1">
      <c r="A249" s="143" t="s">
        <v>301</v>
      </c>
      <c r="B249" s="115"/>
      <c r="C249" s="115">
        <v>213</v>
      </c>
      <c r="D249" s="115">
        <v>901480000</v>
      </c>
      <c r="E249" s="115">
        <v>119</v>
      </c>
      <c r="F249" s="115">
        <v>213</v>
      </c>
      <c r="G249" s="102" t="s">
        <v>525</v>
      </c>
      <c r="H249" s="118">
        <f>SUM(I249:J249)</f>
        <v>0</v>
      </c>
      <c r="I249" s="125"/>
      <c r="J249" s="125">
        <v>0</v>
      </c>
      <c r="K249" s="113"/>
      <c r="L249" s="113"/>
      <c r="M249" s="113"/>
      <c r="N249" s="113"/>
    </row>
    <row r="250" spans="1:14" s="8" customFormat="1" ht="15.75" customHeight="1">
      <c r="A250" s="143" t="s">
        <v>301</v>
      </c>
      <c r="B250" s="115"/>
      <c r="C250" s="115">
        <v>213</v>
      </c>
      <c r="D250" s="115">
        <v>901160000</v>
      </c>
      <c r="E250" s="115">
        <v>119</v>
      </c>
      <c r="F250" s="115">
        <v>213</v>
      </c>
      <c r="G250" s="102" t="s">
        <v>525</v>
      </c>
      <c r="H250" s="118">
        <f>SUM(I250:J250)</f>
        <v>0</v>
      </c>
      <c r="I250" s="125"/>
      <c r="J250" s="125">
        <v>0</v>
      </c>
      <c r="K250" s="113"/>
      <c r="L250" s="113"/>
      <c r="M250" s="113"/>
      <c r="N250" s="113"/>
    </row>
    <row r="251" spans="1:14" s="8" customFormat="1" ht="15.75" customHeight="1">
      <c r="A251" s="143" t="s">
        <v>301</v>
      </c>
      <c r="B251" s="115"/>
      <c r="C251" s="115">
        <v>213</v>
      </c>
      <c r="D251" s="115">
        <v>901830000</v>
      </c>
      <c r="E251" s="115">
        <v>119</v>
      </c>
      <c r="F251" s="115">
        <v>213</v>
      </c>
      <c r="G251" s="102" t="s">
        <v>525</v>
      </c>
      <c r="H251" s="118">
        <f>SUM(I251:J251)</f>
        <v>0</v>
      </c>
      <c r="I251" s="125"/>
      <c r="J251" s="125">
        <v>0</v>
      </c>
      <c r="K251" s="113"/>
      <c r="L251" s="113"/>
      <c r="M251" s="113"/>
      <c r="N251" s="113"/>
    </row>
    <row r="252" spans="1:14" s="8" customFormat="1" ht="15.75" customHeight="1">
      <c r="A252" s="143" t="s">
        <v>301</v>
      </c>
      <c r="B252" s="115"/>
      <c r="C252" s="115">
        <v>213</v>
      </c>
      <c r="D252" s="116" t="s">
        <v>523</v>
      </c>
      <c r="E252" s="115">
        <v>119</v>
      </c>
      <c r="F252" s="115">
        <v>213</v>
      </c>
      <c r="G252" s="102" t="s">
        <v>532</v>
      </c>
      <c r="H252" s="118">
        <f>SUM(I252:M252)</f>
        <v>642847.4</v>
      </c>
      <c r="I252" s="125"/>
      <c r="J252" s="125"/>
      <c r="K252" s="113"/>
      <c r="L252" s="113"/>
      <c r="M252" s="113">
        <v>642847.4</v>
      </c>
      <c r="N252" s="113"/>
    </row>
    <row r="253" spans="1:14" s="8" customFormat="1" ht="24.75" customHeight="1">
      <c r="A253" s="143" t="s">
        <v>399</v>
      </c>
      <c r="B253" s="115">
        <v>220</v>
      </c>
      <c r="C253" s="115"/>
      <c r="D253" s="115"/>
      <c r="E253" s="115"/>
      <c r="F253" s="115"/>
      <c r="G253" s="115"/>
      <c r="H253" s="120">
        <f>SUM(I253:M253)</f>
        <v>0</v>
      </c>
      <c r="I253" s="113">
        <f>I255+I256+I257+I258+I259</f>
        <v>0</v>
      </c>
      <c r="J253" s="113">
        <f>SUM(J255:J257)</f>
        <v>0</v>
      </c>
      <c r="K253" s="113">
        <f>K255+K256+K257+K258+K259</f>
        <v>0</v>
      </c>
      <c r="L253" s="113">
        <f>L255+L256+L257+L258+L259</f>
        <v>0</v>
      </c>
      <c r="M253" s="113">
        <f>M255+M256+M257+M258+M259</f>
        <v>0</v>
      </c>
      <c r="N253" s="113">
        <f>N255+N256+N257+N258+N259</f>
        <v>0</v>
      </c>
    </row>
    <row r="254" spans="1:14" s="8" customFormat="1" ht="15.75" customHeight="1">
      <c r="A254" s="143" t="s">
        <v>3</v>
      </c>
      <c r="B254" s="115"/>
      <c r="C254" s="115"/>
      <c r="D254" s="115"/>
      <c r="E254" s="115"/>
      <c r="F254" s="115"/>
      <c r="G254" s="122"/>
      <c r="H254" s="118"/>
      <c r="I254" s="125"/>
      <c r="J254" s="125"/>
      <c r="K254" s="113"/>
      <c r="L254" s="113"/>
      <c r="M254" s="113"/>
      <c r="N254" s="113"/>
    </row>
    <row r="255" spans="1:14" s="8" customFormat="1" ht="39" customHeight="1">
      <c r="A255" s="144" t="s">
        <v>302</v>
      </c>
      <c r="B255" s="145"/>
      <c r="C255" s="146">
        <v>263</v>
      </c>
      <c r="D255" s="115">
        <v>901140000</v>
      </c>
      <c r="E255" s="115">
        <v>323</v>
      </c>
      <c r="F255" s="146">
        <v>263</v>
      </c>
      <c r="G255" s="147" t="s">
        <v>525</v>
      </c>
      <c r="H255" s="118">
        <f>I255+J255+K255+L255+M255+N255</f>
        <v>0</v>
      </c>
      <c r="I255" s="125"/>
      <c r="J255" s="125">
        <v>0</v>
      </c>
      <c r="K255" s="113"/>
      <c r="L255" s="113"/>
      <c r="M255" s="113"/>
      <c r="N255" s="113"/>
    </row>
    <row r="256" spans="1:14" s="8" customFormat="1" ht="33.75" customHeight="1">
      <c r="A256" s="137" t="s">
        <v>39</v>
      </c>
      <c r="B256" s="115"/>
      <c r="C256" s="115">
        <v>262</v>
      </c>
      <c r="D256" s="115">
        <v>901140000</v>
      </c>
      <c r="E256" s="115">
        <v>321</v>
      </c>
      <c r="F256" s="115">
        <v>262</v>
      </c>
      <c r="G256" s="147" t="s">
        <v>525</v>
      </c>
      <c r="H256" s="118">
        <f>I256+J256+K256+L256+M256+N256</f>
        <v>0</v>
      </c>
      <c r="I256" s="125"/>
      <c r="J256" s="125">
        <v>0</v>
      </c>
      <c r="K256" s="113"/>
      <c r="L256" s="113"/>
      <c r="M256" s="113"/>
      <c r="N256" s="113"/>
    </row>
    <row r="257" spans="1:14" s="8" customFormat="1" ht="15.75" customHeight="1">
      <c r="A257" s="137" t="s">
        <v>303</v>
      </c>
      <c r="B257" s="115"/>
      <c r="C257" s="115"/>
      <c r="D257" s="115"/>
      <c r="E257" s="115"/>
      <c r="F257" s="115"/>
      <c r="G257" s="122"/>
      <c r="H257" s="118">
        <f>I257+J257+K257+L257+M257+N257</f>
        <v>0</v>
      </c>
      <c r="I257" s="125"/>
      <c r="J257" s="125"/>
      <c r="K257" s="113"/>
      <c r="L257" s="113"/>
      <c r="M257" s="113"/>
      <c r="N257" s="113"/>
    </row>
    <row r="258" spans="1:14" s="8" customFormat="1" ht="15.75" customHeight="1">
      <c r="A258" s="137" t="s">
        <v>304</v>
      </c>
      <c r="B258" s="115"/>
      <c r="C258" s="115">
        <v>290</v>
      </c>
      <c r="D258" s="115"/>
      <c r="E258" s="115">
        <v>350</v>
      </c>
      <c r="F258" s="115">
        <v>290</v>
      </c>
      <c r="G258" s="122"/>
      <c r="H258" s="118">
        <f>I258+J258+K258+L258+M258+N258</f>
        <v>0</v>
      </c>
      <c r="I258" s="125"/>
      <c r="J258" s="125"/>
      <c r="K258" s="113"/>
      <c r="L258" s="113"/>
      <c r="M258" s="113"/>
      <c r="N258" s="113"/>
    </row>
    <row r="259" spans="1:14" s="8" customFormat="1" ht="15.75" customHeight="1">
      <c r="A259" s="137" t="s">
        <v>305</v>
      </c>
      <c r="B259" s="115"/>
      <c r="C259" s="115"/>
      <c r="D259" s="115"/>
      <c r="E259" s="115"/>
      <c r="F259" s="115"/>
      <c r="G259" s="122"/>
      <c r="H259" s="118">
        <f>I259+J259+K259+L259+M259+N259</f>
        <v>0</v>
      </c>
      <c r="I259" s="125"/>
      <c r="J259" s="125"/>
      <c r="K259" s="113"/>
      <c r="L259" s="113"/>
      <c r="M259" s="113"/>
      <c r="N259" s="113"/>
    </row>
    <row r="260" spans="1:14" s="8" customFormat="1" ht="24.75" customHeight="1">
      <c r="A260" s="137" t="s">
        <v>306</v>
      </c>
      <c r="B260" s="115">
        <v>230</v>
      </c>
      <c r="C260" s="115"/>
      <c r="D260" s="115"/>
      <c r="E260" s="115"/>
      <c r="F260" s="115"/>
      <c r="G260" s="122"/>
      <c r="H260" s="118">
        <f aca="true" t="shared" si="22" ref="H260:N260">H261+H264</f>
        <v>3252431</v>
      </c>
      <c r="I260" s="125">
        <f t="shared" si="22"/>
        <v>2959713</v>
      </c>
      <c r="J260" s="125">
        <f t="shared" si="22"/>
        <v>0</v>
      </c>
      <c r="K260" s="125">
        <f t="shared" si="22"/>
        <v>0</v>
      </c>
      <c r="L260" s="125">
        <f t="shared" si="22"/>
        <v>0</v>
      </c>
      <c r="M260" s="125">
        <f t="shared" si="22"/>
        <v>292718</v>
      </c>
      <c r="N260" s="125">
        <f t="shared" si="22"/>
        <v>0</v>
      </c>
    </row>
    <row r="261" spans="1:14" s="8" customFormat="1" ht="15.75" customHeight="1">
      <c r="A261" s="143" t="s">
        <v>3</v>
      </c>
      <c r="B261" s="115"/>
      <c r="C261" s="115"/>
      <c r="D261" s="115"/>
      <c r="E261" s="115"/>
      <c r="F261" s="115"/>
      <c r="G261" s="122"/>
      <c r="H261" s="118">
        <f aca="true" t="shared" si="23" ref="H261:N261">H262+H263</f>
        <v>3252431</v>
      </c>
      <c r="I261" s="125">
        <f t="shared" si="23"/>
        <v>2959713</v>
      </c>
      <c r="J261" s="125">
        <f t="shared" si="23"/>
        <v>0</v>
      </c>
      <c r="K261" s="125">
        <f t="shared" si="23"/>
        <v>0</v>
      </c>
      <c r="L261" s="125">
        <f t="shared" si="23"/>
        <v>0</v>
      </c>
      <c r="M261" s="125">
        <f t="shared" si="23"/>
        <v>292718</v>
      </c>
      <c r="N261" s="125">
        <f t="shared" si="23"/>
        <v>0</v>
      </c>
    </row>
    <row r="262" spans="1:14" s="8" customFormat="1" ht="15.75" customHeight="1">
      <c r="A262" s="143" t="s">
        <v>307</v>
      </c>
      <c r="B262" s="115"/>
      <c r="C262" s="115">
        <v>290</v>
      </c>
      <c r="D262" s="115"/>
      <c r="E262" s="115">
        <v>831</v>
      </c>
      <c r="F262" s="115">
        <v>290</v>
      </c>
      <c r="G262" s="122"/>
      <c r="H262" s="118">
        <f>I262+J262+K262+L262+M262+N262</f>
        <v>0</v>
      </c>
      <c r="I262" s="125"/>
      <c r="J262" s="125"/>
      <c r="K262" s="113"/>
      <c r="L262" s="113"/>
      <c r="M262" s="113"/>
      <c r="N262" s="113"/>
    </row>
    <row r="263" spans="1:14" s="8" customFormat="1" ht="15.75" customHeight="1">
      <c r="A263" s="143" t="s">
        <v>308</v>
      </c>
      <c r="B263" s="115"/>
      <c r="C263" s="115">
        <v>290</v>
      </c>
      <c r="D263" s="115"/>
      <c r="E263" s="115">
        <v>850</v>
      </c>
      <c r="F263" s="115">
        <v>290</v>
      </c>
      <c r="G263" s="122"/>
      <c r="H263" s="118">
        <f>I263+J263+K263+L263+M263+N263</f>
        <v>3252431</v>
      </c>
      <c r="I263" s="125">
        <f aca="true" t="shared" si="24" ref="I263:N263">SUM(I265:I273)</f>
        <v>2959713</v>
      </c>
      <c r="J263" s="125">
        <f t="shared" si="24"/>
        <v>0</v>
      </c>
      <c r="K263" s="125">
        <f t="shared" si="24"/>
        <v>0</v>
      </c>
      <c r="L263" s="125">
        <f t="shared" si="24"/>
        <v>0</v>
      </c>
      <c r="M263" s="125">
        <f t="shared" si="24"/>
        <v>292718</v>
      </c>
      <c r="N263" s="125">
        <f t="shared" si="24"/>
        <v>0</v>
      </c>
    </row>
    <row r="264" spans="1:14" s="8" customFormat="1" ht="15.75" customHeight="1">
      <c r="A264" s="143" t="s">
        <v>4</v>
      </c>
      <c r="B264" s="115"/>
      <c r="C264" s="115"/>
      <c r="D264" s="115"/>
      <c r="E264" s="115"/>
      <c r="F264" s="115"/>
      <c r="G264" s="122"/>
      <c r="H264" s="118"/>
      <c r="I264" s="125"/>
      <c r="J264" s="125"/>
      <c r="K264" s="125"/>
      <c r="L264" s="125"/>
      <c r="M264" s="125"/>
      <c r="N264" s="125"/>
    </row>
    <row r="265" spans="1:14" s="8" customFormat="1" ht="26.25" customHeight="1">
      <c r="A265" s="143" t="s">
        <v>309</v>
      </c>
      <c r="B265" s="115"/>
      <c r="C265" s="115">
        <v>291</v>
      </c>
      <c r="D265" s="115">
        <v>800000000</v>
      </c>
      <c r="E265" s="115">
        <v>851</v>
      </c>
      <c r="F265" s="115">
        <v>291</v>
      </c>
      <c r="G265" s="102" t="s">
        <v>534</v>
      </c>
      <c r="H265" s="118">
        <f>I265+J265+K265+L265+M265+N265</f>
        <v>2959713</v>
      </c>
      <c r="I265" s="125">
        <v>2959713</v>
      </c>
      <c r="J265" s="125"/>
      <c r="K265" s="113"/>
      <c r="L265" s="113"/>
      <c r="M265" s="113">
        <v>0</v>
      </c>
      <c r="N265" s="113"/>
    </row>
    <row r="266" spans="1:14" s="8" customFormat="1" ht="26.25" customHeight="1">
      <c r="A266" s="143" t="s">
        <v>309</v>
      </c>
      <c r="B266" s="115"/>
      <c r="C266" s="115">
        <v>291</v>
      </c>
      <c r="D266" s="116" t="s">
        <v>523</v>
      </c>
      <c r="E266" s="115">
        <v>851</v>
      </c>
      <c r="F266" s="115">
        <v>291</v>
      </c>
      <c r="G266" s="102" t="s">
        <v>535</v>
      </c>
      <c r="H266" s="118">
        <f>I266+J266+K266+L266+M266+N266</f>
        <v>292718</v>
      </c>
      <c r="I266" s="125">
        <v>0</v>
      </c>
      <c r="J266" s="125"/>
      <c r="K266" s="113"/>
      <c r="L266" s="113"/>
      <c r="M266" s="113">
        <v>292718</v>
      </c>
      <c r="N266" s="113"/>
    </row>
    <row r="267" spans="1:15" s="8" customFormat="1" ht="15" customHeight="1">
      <c r="A267" s="143" t="s">
        <v>357</v>
      </c>
      <c r="B267" s="115"/>
      <c r="C267" s="115">
        <v>291</v>
      </c>
      <c r="D267" s="115"/>
      <c r="E267" s="115">
        <v>852</v>
      </c>
      <c r="F267" s="115">
        <v>291</v>
      </c>
      <c r="G267" s="122"/>
      <c r="H267" s="118">
        <f aca="true" t="shared" si="25" ref="H267:H274">I267+J267+K267+L267+M267+N267</f>
        <v>0</v>
      </c>
      <c r="I267" s="125"/>
      <c r="J267" s="125"/>
      <c r="K267" s="113"/>
      <c r="L267" s="113"/>
      <c r="M267" s="113"/>
      <c r="N267" s="113"/>
      <c r="O267" s="8" t="s">
        <v>378</v>
      </c>
    </row>
    <row r="268" spans="1:15" s="8" customFormat="1" ht="15" customHeight="1">
      <c r="A268" s="143" t="s">
        <v>310</v>
      </c>
      <c r="B268" s="115"/>
      <c r="C268" s="115">
        <v>291</v>
      </c>
      <c r="D268" s="115"/>
      <c r="E268" s="115">
        <v>853</v>
      </c>
      <c r="F268" s="115">
        <v>291</v>
      </c>
      <c r="G268" s="122"/>
      <c r="H268" s="118">
        <f t="shared" si="25"/>
        <v>0</v>
      </c>
      <c r="I268" s="125"/>
      <c r="J268" s="125"/>
      <c r="K268" s="113"/>
      <c r="L268" s="113"/>
      <c r="M268" s="113"/>
      <c r="N268" s="113"/>
      <c r="O268" s="8" t="s">
        <v>379</v>
      </c>
    </row>
    <row r="269" spans="1:14" s="8" customFormat="1" ht="34.5" customHeight="1">
      <c r="A269" s="143" t="s">
        <v>358</v>
      </c>
      <c r="B269" s="115"/>
      <c r="C269" s="115">
        <v>292</v>
      </c>
      <c r="D269" s="115"/>
      <c r="E269" s="115">
        <v>853</v>
      </c>
      <c r="F269" s="115">
        <v>292</v>
      </c>
      <c r="G269" s="122"/>
      <c r="H269" s="118">
        <f t="shared" si="25"/>
        <v>0</v>
      </c>
      <c r="I269" s="125"/>
      <c r="J269" s="125"/>
      <c r="K269" s="113"/>
      <c r="L269" s="113"/>
      <c r="M269" s="113"/>
      <c r="N269" s="113"/>
    </row>
    <row r="270" spans="1:14" s="8" customFormat="1" ht="26.25" customHeight="1">
      <c r="A270" s="143" t="s">
        <v>359</v>
      </c>
      <c r="B270" s="115"/>
      <c r="C270" s="115">
        <v>293</v>
      </c>
      <c r="D270" s="115"/>
      <c r="E270" s="115">
        <v>853</v>
      </c>
      <c r="F270" s="115">
        <v>293</v>
      </c>
      <c r="G270" s="122"/>
      <c r="H270" s="118">
        <f t="shared" si="25"/>
        <v>0</v>
      </c>
      <c r="I270" s="125"/>
      <c r="J270" s="125"/>
      <c r="K270" s="113"/>
      <c r="L270" s="113"/>
      <c r="M270" s="113"/>
      <c r="N270" s="113"/>
    </row>
    <row r="271" spans="1:14" s="8" customFormat="1" ht="26.25" customHeight="1">
      <c r="A271" s="143" t="s">
        <v>360</v>
      </c>
      <c r="B271" s="115"/>
      <c r="C271" s="115">
        <v>294</v>
      </c>
      <c r="D271" s="115"/>
      <c r="E271" s="115">
        <v>853</v>
      </c>
      <c r="F271" s="115">
        <v>294</v>
      </c>
      <c r="G271" s="122"/>
      <c r="H271" s="118">
        <f t="shared" si="25"/>
        <v>0</v>
      </c>
      <c r="I271" s="125"/>
      <c r="J271" s="125"/>
      <c r="K271" s="113"/>
      <c r="L271" s="113"/>
      <c r="M271" s="113"/>
      <c r="N271" s="113"/>
    </row>
    <row r="272" spans="1:14" s="8" customFormat="1" ht="18" customHeight="1">
      <c r="A272" s="143" t="s">
        <v>361</v>
      </c>
      <c r="B272" s="115"/>
      <c r="C272" s="115">
        <v>295</v>
      </c>
      <c r="D272" s="115"/>
      <c r="E272" s="115">
        <v>853</v>
      </c>
      <c r="F272" s="115">
        <v>295</v>
      </c>
      <c r="G272" s="122"/>
      <c r="H272" s="118">
        <f t="shared" si="25"/>
        <v>0</v>
      </c>
      <c r="I272" s="125"/>
      <c r="J272" s="125"/>
      <c r="K272" s="113"/>
      <c r="L272" s="113"/>
      <c r="M272" s="113"/>
      <c r="N272" s="113"/>
    </row>
    <row r="273" spans="1:14" s="8" customFormat="1" ht="18" customHeight="1">
      <c r="A273" s="143" t="s">
        <v>362</v>
      </c>
      <c r="B273" s="115"/>
      <c r="C273" s="115">
        <v>296</v>
      </c>
      <c r="D273" s="115"/>
      <c r="E273" s="115">
        <v>853</v>
      </c>
      <c r="F273" s="115">
        <v>296</v>
      </c>
      <c r="G273" s="122"/>
      <c r="H273" s="118">
        <f t="shared" si="25"/>
        <v>0</v>
      </c>
      <c r="I273" s="125"/>
      <c r="J273" s="125"/>
      <c r="K273" s="113"/>
      <c r="L273" s="113"/>
      <c r="M273" s="113"/>
      <c r="N273" s="113"/>
    </row>
    <row r="274" spans="1:14" s="8" customFormat="1" ht="18" customHeight="1">
      <c r="A274" s="143" t="s">
        <v>311</v>
      </c>
      <c r="B274" s="115">
        <v>240</v>
      </c>
      <c r="C274" s="115"/>
      <c r="D274" s="115"/>
      <c r="E274" s="115"/>
      <c r="F274" s="115"/>
      <c r="G274" s="122"/>
      <c r="H274" s="118">
        <f t="shared" si="25"/>
        <v>0</v>
      </c>
      <c r="I274" s="125"/>
      <c r="J274" s="125"/>
      <c r="K274" s="113"/>
      <c r="L274" s="113"/>
      <c r="M274" s="113"/>
      <c r="N274" s="113"/>
    </row>
    <row r="275" spans="1:14" s="8" customFormat="1" ht="28.5" customHeight="1">
      <c r="A275" s="137" t="s">
        <v>312</v>
      </c>
      <c r="B275" s="115">
        <v>250</v>
      </c>
      <c r="C275" s="115"/>
      <c r="D275" s="115"/>
      <c r="E275" s="115"/>
      <c r="F275" s="115"/>
      <c r="G275" s="122"/>
      <c r="H275" s="118">
        <f>H277+H278</f>
        <v>0</v>
      </c>
      <c r="I275" s="125">
        <f aca="true" t="shared" si="26" ref="I275:N275">I277+I278</f>
        <v>0</v>
      </c>
      <c r="J275" s="125">
        <f t="shared" si="26"/>
        <v>0</v>
      </c>
      <c r="K275" s="125">
        <f t="shared" si="26"/>
        <v>0</v>
      </c>
      <c r="L275" s="125">
        <f t="shared" si="26"/>
        <v>0</v>
      </c>
      <c r="M275" s="125">
        <f t="shared" si="26"/>
        <v>0</v>
      </c>
      <c r="N275" s="125">
        <f t="shared" si="26"/>
        <v>0</v>
      </c>
    </row>
    <row r="276" spans="1:14" s="8" customFormat="1" ht="14.25" customHeight="1">
      <c r="A276" s="143" t="s">
        <v>4</v>
      </c>
      <c r="B276" s="115"/>
      <c r="C276" s="115"/>
      <c r="D276" s="115"/>
      <c r="E276" s="115"/>
      <c r="F276" s="115"/>
      <c r="G276" s="122"/>
      <c r="H276" s="118"/>
      <c r="I276" s="125"/>
      <c r="J276" s="125"/>
      <c r="K276" s="113"/>
      <c r="L276" s="113"/>
      <c r="M276" s="113"/>
      <c r="N276" s="113"/>
    </row>
    <row r="277" spans="1:14" s="8" customFormat="1" ht="29.25" customHeight="1">
      <c r="A277" s="137" t="s">
        <v>313</v>
      </c>
      <c r="B277" s="115"/>
      <c r="C277" s="115"/>
      <c r="D277" s="115"/>
      <c r="E277" s="115"/>
      <c r="F277" s="115"/>
      <c r="G277" s="122"/>
      <c r="H277" s="118">
        <f>I277+J277+K277+L277+M277+N277</f>
        <v>0</v>
      </c>
      <c r="I277" s="125"/>
      <c r="J277" s="125"/>
      <c r="K277" s="113"/>
      <c r="L277" s="113"/>
      <c r="M277" s="113"/>
      <c r="N277" s="113"/>
    </row>
    <row r="278" spans="1:14" s="8" customFormat="1" ht="34.5" customHeight="1">
      <c r="A278" s="143" t="s">
        <v>314</v>
      </c>
      <c r="B278" s="115"/>
      <c r="C278" s="115"/>
      <c r="D278" s="115"/>
      <c r="E278" s="115"/>
      <c r="F278" s="115"/>
      <c r="G278" s="122"/>
      <c r="H278" s="118">
        <f>I278+J278+K278+L278+M278+N278</f>
        <v>0</v>
      </c>
      <c r="I278" s="125"/>
      <c r="J278" s="125"/>
      <c r="K278" s="125"/>
      <c r="L278" s="125"/>
      <c r="M278" s="125"/>
      <c r="N278" s="113"/>
    </row>
    <row r="279" spans="1:14" s="8" customFormat="1" ht="27" customHeight="1">
      <c r="A279" s="143" t="s">
        <v>315</v>
      </c>
      <c r="B279" s="115">
        <v>260</v>
      </c>
      <c r="C279" s="115"/>
      <c r="D279" s="115"/>
      <c r="E279" s="115"/>
      <c r="F279" s="115"/>
      <c r="G279" s="122"/>
      <c r="H279" s="118">
        <f>I279+J279+M279</f>
        <v>9204226.74</v>
      </c>
      <c r="I279" s="125">
        <f>I281+I282+I285+I295+I296+I298+I299+I302+I309</f>
        <v>5492911.640000001</v>
      </c>
      <c r="J279" s="125">
        <f>J281+J284+J285+J294+J295+J298+J301+J302+J308+J309+J316</f>
        <v>0</v>
      </c>
      <c r="K279" s="125">
        <f>K281+K284+K285+K294+K295+K298+K301+K302+K308+K309+K316</f>
        <v>0</v>
      </c>
      <c r="L279" s="125">
        <f>L281+L284+L285+L294+L295+L298+L301+L302+L308+L309+L316</f>
        <v>0</v>
      </c>
      <c r="M279" s="125">
        <f>M281+M284+M285+M294+M295+M298+M301+M302+M308+M309+M316+M283+M297+M315+M300</f>
        <v>3711315.0999999996</v>
      </c>
      <c r="N279" s="125">
        <f>N281+N284+N285+N294+N295+N298+N301+N302+N308+N309+N316</f>
        <v>0</v>
      </c>
    </row>
    <row r="280" spans="1:14" s="41" customFormat="1" ht="15.75" customHeight="1">
      <c r="A280" s="143" t="s">
        <v>4</v>
      </c>
      <c r="B280" s="149"/>
      <c r="C280" s="115"/>
      <c r="D280" s="149"/>
      <c r="E280" s="149"/>
      <c r="F280" s="115"/>
      <c r="G280" s="122"/>
      <c r="H280" s="118"/>
      <c r="I280" s="118"/>
      <c r="J280" s="118"/>
      <c r="K280" s="118"/>
      <c r="L280" s="118"/>
      <c r="M280" s="118"/>
      <c r="N280" s="118"/>
    </row>
    <row r="281" spans="1:14" s="8" customFormat="1" ht="16.5" customHeight="1">
      <c r="A281" s="143" t="s">
        <v>316</v>
      </c>
      <c r="B281" s="115"/>
      <c r="C281" s="115">
        <v>221</v>
      </c>
      <c r="D281" s="115">
        <v>800000000</v>
      </c>
      <c r="E281" s="115">
        <v>244</v>
      </c>
      <c r="F281" s="115">
        <v>221</v>
      </c>
      <c r="G281" s="102" t="s">
        <v>533</v>
      </c>
      <c r="H281" s="118">
        <f>I281+J281+M281</f>
        <v>72000</v>
      </c>
      <c r="I281" s="125">
        <v>72000</v>
      </c>
      <c r="J281" s="125"/>
      <c r="K281" s="113"/>
      <c r="L281" s="113"/>
      <c r="M281" s="113"/>
      <c r="N281" s="113"/>
    </row>
    <row r="282" spans="1:14" s="8" customFormat="1" ht="16.5" customHeight="1">
      <c r="A282" s="143" t="s">
        <v>316</v>
      </c>
      <c r="B282" s="115"/>
      <c r="C282" s="115">
        <v>221</v>
      </c>
      <c r="D282" s="115">
        <v>800000000</v>
      </c>
      <c r="E282" s="115">
        <v>244</v>
      </c>
      <c r="F282" s="115">
        <v>221</v>
      </c>
      <c r="G282" s="102" t="s">
        <v>534</v>
      </c>
      <c r="H282" s="118">
        <f>I282+J282+M282</f>
        <v>32000.1</v>
      </c>
      <c r="I282" s="125">
        <v>32000.1</v>
      </c>
      <c r="J282" s="125"/>
      <c r="K282" s="113"/>
      <c r="L282" s="113"/>
      <c r="M282" s="113"/>
      <c r="N282" s="113"/>
    </row>
    <row r="283" spans="1:14" s="8" customFormat="1" ht="16.5" customHeight="1">
      <c r="A283" s="143" t="s">
        <v>316</v>
      </c>
      <c r="B283" s="115"/>
      <c r="C283" s="115">
        <v>221</v>
      </c>
      <c r="D283" s="116" t="s">
        <v>523</v>
      </c>
      <c r="E283" s="115">
        <v>244</v>
      </c>
      <c r="F283" s="115">
        <v>221</v>
      </c>
      <c r="G283" s="102" t="s">
        <v>535</v>
      </c>
      <c r="H283" s="118">
        <f>I283+J283+M283</f>
        <v>2909.1</v>
      </c>
      <c r="I283" s="125">
        <v>0</v>
      </c>
      <c r="J283" s="125"/>
      <c r="K283" s="113"/>
      <c r="L283" s="113"/>
      <c r="M283" s="113">
        <v>2909.1</v>
      </c>
      <c r="N283" s="113"/>
    </row>
    <row r="284" spans="1:14" s="8" customFormat="1" ht="15.75" customHeight="1">
      <c r="A284" s="143" t="s">
        <v>317</v>
      </c>
      <c r="B284" s="115"/>
      <c r="C284" s="115">
        <v>222</v>
      </c>
      <c r="D284" s="115"/>
      <c r="E284" s="115"/>
      <c r="F284" s="115">
        <v>222</v>
      </c>
      <c r="G284" s="122"/>
      <c r="H284" s="118">
        <f>I284+J284+K284+L284+M284+N284</f>
        <v>0</v>
      </c>
      <c r="I284" s="125"/>
      <c r="J284" s="125"/>
      <c r="K284" s="113"/>
      <c r="L284" s="113"/>
      <c r="M284" s="113"/>
      <c r="N284" s="113"/>
    </row>
    <row r="285" spans="1:14" s="8" customFormat="1" ht="14.25" customHeight="1">
      <c r="A285" s="143" t="s">
        <v>318</v>
      </c>
      <c r="B285" s="115"/>
      <c r="C285" s="115">
        <v>223</v>
      </c>
      <c r="D285" s="115"/>
      <c r="E285" s="115"/>
      <c r="F285" s="115">
        <v>223</v>
      </c>
      <c r="G285" s="122"/>
      <c r="H285" s="118">
        <f>I285+J285+M285</f>
        <v>2037560.0399999998</v>
      </c>
      <c r="I285" s="125">
        <f>I287+I288+I289+I290</f>
        <v>1842358.5699999998</v>
      </c>
      <c r="J285" s="125">
        <f>J287+J288+J289+J290</f>
        <v>0</v>
      </c>
      <c r="K285" s="125">
        <f>K287+K288+K289+K290</f>
        <v>0</v>
      </c>
      <c r="L285" s="125">
        <f>L287+L288+L289+L290</f>
        <v>0</v>
      </c>
      <c r="M285" s="125">
        <f>SUM(M287:M293)</f>
        <v>195201.47</v>
      </c>
      <c r="N285" s="125">
        <f>N287+N288+N289+N290</f>
        <v>0</v>
      </c>
    </row>
    <row r="286" spans="1:14" s="8" customFormat="1" ht="12.75">
      <c r="A286" s="143" t="s">
        <v>4</v>
      </c>
      <c r="B286" s="115"/>
      <c r="C286" s="115"/>
      <c r="D286" s="115"/>
      <c r="E286" s="115"/>
      <c r="F286" s="115"/>
      <c r="G286" s="122"/>
      <c r="H286" s="118"/>
      <c r="I286" s="125"/>
      <c r="J286" s="125"/>
      <c r="K286" s="113"/>
      <c r="L286" s="113"/>
      <c r="M286" s="113"/>
      <c r="N286" s="113"/>
    </row>
    <row r="287" spans="1:14" s="8" customFormat="1" ht="15" customHeight="1">
      <c r="A287" s="143" t="s">
        <v>319</v>
      </c>
      <c r="B287" s="115"/>
      <c r="C287" s="115"/>
      <c r="D287" s="115">
        <v>800000000</v>
      </c>
      <c r="E287" s="115"/>
      <c r="F287" s="115"/>
      <c r="G287" s="102" t="s">
        <v>534</v>
      </c>
      <c r="H287" s="118">
        <f aca="true" t="shared" si="27" ref="H287:H302">I287+J287+K287+L287+M287+N287</f>
        <v>1246845.97</v>
      </c>
      <c r="I287" s="125">
        <v>1246845.97</v>
      </c>
      <c r="J287" s="125"/>
      <c r="K287" s="113"/>
      <c r="L287" s="113"/>
      <c r="M287" s="113">
        <v>0</v>
      </c>
      <c r="N287" s="113"/>
    </row>
    <row r="288" spans="1:14" s="8" customFormat="1" ht="15" customHeight="1">
      <c r="A288" s="143" t="s">
        <v>320</v>
      </c>
      <c r="B288" s="115"/>
      <c r="C288" s="115"/>
      <c r="D288" s="115">
        <v>800000000</v>
      </c>
      <c r="E288" s="115"/>
      <c r="F288" s="115"/>
      <c r="G288" s="102" t="s">
        <v>534</v>
      </c>
      <c r="H288" s="118">
        <f t="shared" si="27"/>
        <v>0</v>
      </c>
      <c r="I288" s="125">
        <v>0</v>
      </c>
      <c r="J288" s="125"/>
      <c r="K288" s="113"/>
      <c r="L288" s="113"/>
      <c r="M288" s="113"/>
      <c r="N288" s="113"/>
    </row>
    <row r="289" spans="1:14" s="8" customFormat="1" ht="15" customHeight="1">
      <c r="A289" s="143" t="s">
        <v>321</v>
      </c>
      <c r="B289" s="115"/>
      <c r="C289" s="115"/>
      <c r="D289" s="115">
        <v>800000000</v>
      </c>
      <c r="E289" s="115"/>
      <c r="F289" s="115"/>
      <c r="G289" s="102" t="s">
        <v>534</v>
      </c>
      <c r="H289" s="118">
        <f t="shared" si="27"/>
        <v>470359.68</v>
      </c>
      <c r="I289" s="125">
        <v>470359.68</v>
      </c>
      <c r="J289" s="125"/>
      <c r="K289" s="113"/>
      <c r="L289" s="113"/>
      <c r="M289" s="113"/>
      <c r="N289" s="113"/>
    </row>
    <row r="290" spans="1:14" s="8" customFormat="1" ht="15" customHeight="1">
      <c r="A290" s="143" t="s">
        <v>322</v>
      </c>
      <c r="B290" s="115"/>
      <c r="C290" s="115"/>
      <c r="D290" s="115">
        <v>800000000</v>
      </c>
      <c r="E290" s="115"/>
      <c r="F290" s="115"/>
      <c r="G290" s="102" t="s">
        <v>534</v>
      </c>
      <c r="H290" s="118">
        <f t="shared" si="27"/>
        <v>125152.92</v>
      </c>
      <c r="I290" s="125">
        <v>125152.92</v>
      </c>
      <c r="J290" s="125"/>
      <c r="K290" s="113"/>
      <c r="L290" s="113"/>
      <c r="M290" s="113"/>
      <c r="N290" s="113"/>
    </row>
    <row r="291" spans="1:14" s="8" customFormat="1" ht="15" customHeight="1">
      <c r="A291" s="143" t="s">
        <v>319</v>
      </c>
      <c r="B291" s="115"/>
      <c r="C291" s="115"/>
      <c r="D291" s="116" t="s">
        <v>523</v>
      </c>
      <c r="E291" s="115"/>
      <c r="F291" s="115"/>
      <c r="G291" s="102" t="s">
        <v>535</v>
      </c>
      <c r="H291" s="118">
        <f t="shared" si="27"/>
        <v>9301.35</v>
      </c>
      <c r="I291" s="125">
        <v>0</v>
      </c>
      <c r="J291" s="125"/>
      <c r="K291" s="113"/>
      <c r="L291" s="113"/>
      <c r="M291" s="113">
        <v>9301.35</v>
      </c>
      <c r="N291" s="113"/>
    </row>
    <row r="292" spans="1:14" s="8" customFormat="1" ht="15" customHeight="1">
      <c r="A292" s="143" t="s">
        <v>321</v>
      </c>
      <c r="B292" s="115"/>
      <c r="C292" s="115"/>
      <c r="D292" s="116" t="s">
        <v>523</v>
      </c>
      <c r="E292" s="115"/>
      <c r="F292" s="115"/>
      <c r="G292" s="102" t="s">
        <v>535</v>
      </c>
      <c r="H292" s="118">
        <f t="shared" si="27"/>
        <v>143362.88</v>
      </c>
      <c r="I292" s="125">
        <v>0</v>
      </c>
      <c r="J292" s="125"/>
      <c r="K292" s="113"/>
      <c r="L292" s="113"/>
      <c r="M292" s="113">
        <v>143362.88</v>
      </c>
      <c r="N292" s="113"/>
    </row>
    <row r="293" spans="1:14" s="8" customFormat="1" ht="15" customHeight="1">
      <c r="A293" s="143" t="s">
        <v>322</v>
      </c>
      <c r="B293" s="115"/>
      <c r="C293" s="115"/>
      <c r="D293" s="116" t="s">
        <v>523</v>
      </c>
      <c r="E293" s="115"/>
      <c r="F293" s="115"/>
      <c r="G293" s="102" t="s">
        <v>535</v>
      </c>
      <c r="H293" s="118">
        <f t="shared" si="27"/>
        <v>42537.24</v>
      </c>
      <c r="I293" s="125">
        <v>0</v>
      </c>
      <c r="J293" s="125"/>
      <c r="K293" s="113"/>
      <c r="L293" s="113"/>
      <c r="M293" s="113">
        <v>42537.24</v>
      </c>
      <c r="N293" s="113"/>
    </row>
    <row r="294" spans="1:14" s="8" customFormat="1" ht="15" customHeight="1">
      <c r="A294" s="143" t="s">
        <v>323</v>
      </c>
      <c r="B294" s="115"/>
      <c r="C294" s="115">
        <v>224</v>
      </c>
      <c r="D294" s="115"/>
      <c r="E294" s="115"/>
      <c r="F294" s="115">
        <v>224</v>
      </c>
      <c r="G294" s="122"/>
      <c r="H294" s="118">
        <f t="shared" si="27"/>
        <v>0</v>
      </c>
      <c r="I294" s="125">
        <v>0</v>
      </c>
      <c r="J294" s="125"/>
      <c r="K294" s="113"/>
      <c r="L294" s="113"/>
      <c r="M294" s="113"/>
      <c r="N294" s="113"/>
    </row>
    <row r="295" spans="1:14" s="8" customFormat="1" ht="15" customHeight="1">
      <c r="A295" s="143" t="s">
        <v>324</v>
      </c>
      <c r="B295" s="115"/>
      <c r="C295" s="115">
        <v>225</v>
      </c>
      <c r="D295" s="115">
        <v>800000000</v>
      </c>
      <c r="E295" s="115"/>
      <c r="F295" s="115">
        <v>225</v>
      </c>
      <c r="G295" s="102" t="s">
        <v>533</v>
      </c>
      <c r="H295" s="118">
        <f t="shared" si="27"/>
        <v>132945.86</v>
      </c>
      <c r="I295" s="125">
        <v>132945.86</v>
      </c>
      <c r="J295" s="125"/>
      <c r="K295" s="113"/>
      <c r="L295" s="113"/>
      <c r="M295" s="113"/>
      <c r="N295" s="113"/>
    </row>
    <row r="296" spans="1:14" s="8" customFormat="1" ht="15" customHeight="1">
      <c r="A296" s="143" t="s">
        <v>324</v>
      </c>
      <c r="B296" s="115"/>
      <c r="C296" s="115">
        <v>225</v>
      </c>
      <c r="D296" s="115">
        <v>800000000</v>
      </c>
      <c r="E296" s="115"/>
      <c r="F296" s="115">
        <v>225</v>
      </c>
      <c r="G296" s="102" t="s">
        <v>534</v>
      </c>
      <c r="H296" s="118">
        <f t="shared" si="27"/>
        <v>2270207.21</v>
      </c>
      <c r="I296" s="125">
        <f>2200842.68+69364.53</f>
        <v>2270207.21</v>
      </c>
      <c r="J296" s="125"/>
      <c r="K296" s="113"/>
      <c r="L296" s="113"/>
      <c r="M296" s="113"/>
      <c r="N296" s="113"/>
    </row>
    <row r="297" spans="1:14" s="8" customFormat="1" ht="15" customHeight="1">
      <c r="A297" s="143" t="s">
        <v>324</v>
      </c>
      <c r="B297" s="115"/>
      <c r="C297" s="115">
        <v>225</v>
      </c>
      <c r="D297" s="116" t="s">
        <v>523</v>
      </c>
      <c r="E297" s="115"/>
      <c r="F297" s="115">
        <v>225</v>
      </c>
      <c r="G297" s="102" t="s">
        <v>535</v>
      </c>
      <c r="H297" s="118">
        <f t="shared" si="27"/>
        <v>2634941.9499999997</v>
      </c>
      <c r="I297" s="125">
        <v>0</v>
      </c>
      <c r="J297" s="125"/>
      <c r="K297" s="113"/>
      <c r="L297" s="113"/>
      <c r="M297" s="113">
        <f>2600998.63+33943.32</f>
        <v>2634941.9499999997</v>
      </c>
      <c r="N297" s="113"/>
    </row>
    <row r="298" spans="1:14" s="8" customFormat="1" ht="15" customHeight="1">
      <c r="A298" s="143" t="s">
        <v>325</v>
      </c>
      <c r="B298" s="115"/>
      <c r="C298" s="115">
        <v>310</v>
      </c>
      <c r="D298" s="115">
        <v>800000000</v>
      </c>
      <c r="E298" s="115"/>
      <c r="F298" s="115">
        <v>310</v>
      </c>
      <c r="G298" s="102" t="s">
        <v>533</v>
      </c>
      <c r="H298" s="118">
        <f t="shared" si="27"/>
        <v>450000</v>
      </c>
      <c r="I298" s="125">
        <v>450000</v>
      </c>
      <c r="J298" s="125"/>
      <c r="K298" s="113"/>
      <c r="L298" s="113"/>
      <c r="M298" s="113"/>
      <c r="N298" s="113"/>
    </row>
    <row r="299" spans="1:14" s="8" customFormat="1" ht="15" customHeight="1">
      <c r="A299" s="143" t="s">
        <v>325</v>
      </c>
      <c r="B299" s="115"/>
      <c r="C299" s="115">
        <v>310</v>
      </c>
      <c r="D299" s="115">
        <v>800000000</v>
      </c>
      <c r="E299" s="115"/>
      <c r="F299" s="115">
        <v>310</v>
      </c>
      <c r="G299" s="102" t="s">
        <v>534</v>
      </c>
      <c r="H299" s="118">
        <f t="shared" si="27"/>
        <v>262999.9</v>
      </c>
      <c r="I299" s="125">
        <v>262999.9</v>
      </c>
      <c r="J299" s="125"/>
      <c r="K299" s="113"/>
      <c r="L299" s="113"/>
      <c r="M299" s="113"/>
      <c r="N299" s="113"/>
    </row>
    <row r="300" spans="1:14" s="8" customFormat="1" ht="15" customHeight="1">
      <c r="A300" s="143" t="s">
        <v>325</v>
      </c>
      <c r="B300" s="115"/>
      <c r="C300" s="115">
        <v>310</v>
      </c>
      <c r="D300" s="116" t="s">
        <v>523</v>
      </c>
      <c r="E300" s="115"/>
      <c r="F300" s="115">
        <v>310</v>
      </c>
      <c r="G300" s="102" t="s">
        <v>535</v>
      </c>
      <c r="H300" s="118">
        <f t="shared" si="27"/>
        <v>104248</v>
      </c>
      <c r="I300" s="125">
        <v>0</v>
      </c>
      <c r="J300" s="125"/>
      <c r="K300" s="113"/>
      <c r="L300" s="113"/>
      <c r="M300" s="113">
        <v>104248</v>
      </c>
      <c r="N300" s="113"/>
    </row>
    <row r="301" spans="1:14" s="8" customFormat="1" ht="15" customHeight="1">
      <c r="A301" s="143" t="s">
        <v>326</v>
      </c>
      <c r="B301" s="115"/>
      <c r="C301" s="115">
        <v>320</v>
      </c>
      <c r="D301" s="115"/>
      <c r="E301" s="115"/>
      <c r="F301" s="115">
        <v>320</v>
      </c>
      <c r="G301" s="122"/>
      <c r="H301" s="118">
        <f t="shared" si="27"/>
        <v>0</v>
      </c>
      <c r="I301" s="125">
        <v>0</v>
      </c>
      <c r="J301" s="125"/>
      <c r="K301" s="113"/>
      <c r="L301" s="113"/>
      <c r="M301" s="113"/>
      <c r="N301" s="113"/>
    </row>
    <row r="302" spans="1:14" s="8" customFormat="1" ht="15" customHeight="1">
      <c r="A302" s="143" t="s">
        <v>327</v>
      </c>
      <c r="B302" s="115"/>
      <c r="C302" s="115">
        <v>340</v>
      </c>
      <c r="D302" s="115"/>
      <c r="E302" s="115"/>
      <c r="F302" s="115">
        <v>340</v>
      </c>
      <c r="G302" s="122"/>
      <c r="H302" s="118">
        <f t="shared" si="27"/>
        <v>124943.1</v>
      </c>
      <c r="I302" s="125">
        <f aca="true" t="shared" si="28" ref="I302:N302">I303+I304+I305+I306+I307</f>
        <v>124943.1</v>
      </c>
      <c r="J302" s="125">
        <f t="shared" si="28"/>
        <v>0</v>
      </c>
      <c r="K302" s="125">
        <f t="shared" si="28"/>
        <v>0</v>
      </c>
      <c r="L302" s="125">
        <f t="shared" si="28"/>
        <v>0</v>
      </c>
      <c r="M302" s="125">
        <f t="shared" si="28"/>
        <v>0</v>
      </c>
      <c r="N302" s="125">
        <f t="shared" si="28"/>
        <v>0</v>
      </c>
    </row>
    <row r="303" spans="1:14" s="8" customFormat="1" ht="15" customHeight="1">
      <c r="A303" s="143" t="s">
        <v>4</v>
      </c>
      <c r="B303" s="115"/>
      <c r="C303" s="115"/>
      <c r="D303" s="115"/>
      <c r="E303" s="115"/>
      <c r="F303" s="115"/>
      <c r="G303" s="122"/>
      <c r="H303" s="118"/>
      <c r="I303" s="125"/>
      <c r="J303" s="125"/>
      <c r="K303" s="113"/>
      <c r="L303" s="113"/>
      <c r="M303" s="113"/>
      <c r="N303" s="113"/>
    </row>
    <row r="304" spans="1:14" s="8" customFormat="1" ht="15" customHeight="1">
      <c r="A304" s="143" t="s">
        <v>328</v>
      </c>
      <c r="B304" s="115"/>
      <c r="C304" s="115"/>
      <c r="D304" s="115"/>
      <c r="E304" s="115"/>
      <c r="F304" s="115"/>
      <c r="G304" s="102"/>
      <c r="H304" s="118">
        <f>I304+J304+K304+L304+M304+N304</f>
        <v>0</v>
      </c>
      <c r="I304" s="125">
        <v>0</v>
      </c>
      <c r="J304" s="125"/>
      <c r="K304" s="113"/>
      <c r="L304" s="113"/>
      <c r="M304" s="113"/>
      <c r="N304" s="113"/>
    </row>
    <row r="305" spans="1:14" s="8" customFormat="1" ht="15" customHeight="1">
      <c r="A305" s="143" t="s">
        <v>329</v>
      </c>
      <c r="B305" s="115"/>
      <c r="C305" s="115"/>
      <c r="D305" s="115"/>
      <c r="E305" s="115"/>
      <c r="F305" s="115"/>
      <c r="G305" s="122"/>
      <c r="H305" s="118">
        <f>I305+J305+K305+L305+M305+N305</f>
        <v>0</v>
      </c>
      <c r="I305" s="125">
        <v>0</v>
      </c>
      <c r="J305" s="125"/>
      <c r="K305" s="113"/>
      <c r="L305" s="113"/>
      <c r="M305" s="113"/>
      <c r="N305" s="113"/>
    </row>
    <row r="306" spans="1:14" s="8" customFormat="1" ht="15" customHeight="1">
      <c r="A306" s="143" t="s">
        <v>330</v>
      </c>
      <c r="B306" s="115"/>
      <c r="C306" s="115">
        <v>346</v>
      </c>
      <c r="D306" s="115">
        <v>800000000</v>
      </c>
      <c r="E306" s="115"/>
      <c r="F306" s="115"/>
      <c r="G306" s="102" t="s">
        <v>534</v>
      </c>
      <c r="H306" s="118">
        <f>I306+J306+K306+L306+M306+N306</f>
        <v>124943.1</v>
      </c>
      <c r="I306" s="125">
        <v>124943.1</v>
      </c>
      <c r="J306" s="125"/>
      <c r="K306" s="113"/>
      <c r="L306" s="113"/>
      <c r="M306" s="113"/>
      <c r="N306" s="113"/>
    </row>
    <row r="307" spans="1:14" s="8" customFormat="1" ht="15" customHeight="1">
      <c r="A307" s="143" t="s">
        <v>331</v>
      </c>
      <c r="B307" s="115"/>
      <c r="C307" s="115"/>
      <c r="D307" s="115"/>
      <c r="E307" s="115"/>
      <c r="F307" s="115"/>
      <c r="G307" s="122"/>
      <c r="H307" s="118">
        <f>I307+J307+K307+L307+M307+N307</f>
        <v>0</v>
      </c>
      <c r="I307" s="125">
        <v>0</v>
      </c>
      <c r="J307" s="125"/>
      <c r="K307" s="113"/>
      <c r="L307" s="113"/>
      <c r="M307" s="113"/>
      <c r="N307" s="113"/>
    </row>
    <row r="308" spans="1:14" s="8" customFormat="1" ht="17.25" customHeight="1">
      <c r="A308" s="143" t="s">
        <v>332</v>
      </c>
      <c r="B308" s="115"/>
      <c r="C308" s="115">
        <v>530</v>
      </c>
      <c r="D308" s="115"/>
      <c r="E308" s="115">
        <v>465</v>
      </c>
      <c r="F308" s="115">
        <v>530</v>
      </c>
      <c r="G308" s="122"/>
      <c r="H308" s="118"/>
      <c r="I308" s="125"/>
      <c r="J308" s="125"/>
      <c r="K308" s="113"/>
      <c r="L308" s="113"/>
      <c r="M308" s="113"/>
      <c r="N308" s="113"/>
    </row>
    <row r="309" spans="1:14" s="8" customFormat="1" ht="17.25" customHeight="1">
      <c r="A309" s="143" t="s">
        <v>333</v>
      </c>
      <c r="B309" s="115"/>
      <c r="C309" s="115">
        <v>226</v>
      </c>
      <c r="D309" s="115">
        <v>800000000</v>
      </c>
      <c r="E309" s="115">
        <v>244</v>
      </c>
      <c r="F309" s="115">
        <v>226</v>
      </c>
      <c r="G309" s="122"/>
      <c r="H309" s="118">
        <f>I309+J309+K309+L309+M309+N309</f>
        <v>305456.9</v>
      </c>
      <c r="I309" s="125">
        <f>SUM(I311:I314)</f>
        <v>305456.9</v>
      </c>
      <c r="J309" s="125">
        <f>J311+J312+J313</f>
        <v>0</v>
      </c>
      <c r="K309" s="125">
        <f>K311+K312+K313</f>
        <v>0</v>
      </c>
      <c r="L309" s="125">
        <f>L311+L312+L313</f>
        <v>0</v>
      </c>
      <c r="M309" s="125">
        <f>M311+M312+M313</f>
        <v>0</v>
      </c>
      <c r="N309" s="125">
        <f>N311+N312+N313</f>
        <v>0</v>
      </c>
    </row>
    <row r="310" spans="1:14" s="8" customFormat="1" ht="17.25" customHeight="1">
      <c r="A310" s="143" t="s">
        <v>4</v>
      </c>
      <c r="B310" s="115"/>
      <c r="C310" s="115"/>
      <c r="D310" s="115"/>
      <c r="E310" s="115"/>
      <c r="F310" s="115"/>
      <c r="G310" s="122"/>
      <c r="H310" s="118"/>
      <c r="I310" s="125"/>
      <c r="J310" s="125"/>
      <c r="K310" s="113"/>
      <c r="L310" s="113"/>
      <c r="M310" s="113"/>
      <c r="N310" s="113"/>
    </row>
    <row r="311" spans="1:14" s="8" customFormat="1" ht="17.25" customHeight="1">
      <c r="A311" s="143" t="s">
        <v>334</v>
      </c>
      <c r="B311" s="115"/>
      <c r="C311" s="115"/>
      <c r="D311" s="115"/>
      <c r="E311" s="115"/>
      <c r="F311" s="115"/>
      <c r="G311" s="122"/>
      <c r="H311" s="118">
        <f aca="true" t="shared" si="29" ref="H311:H316">I311+J311+K311+L311+M311+N311</f>
        <v>0</v>
      </c>
      <c r="I311" s="125"/>
      <c r="J311" s="125"/>
      <c r="K311" s="113"/>
      <c r="L311" s="113"/>
      <c r="M311" s="113"/>
      <c r="N311" s="113"/>
    </row>
    <row r="312" spans="1:14" s="8" customFormat="1" ht="28.5" customHeight="1">
      <c r="A312" s="143" t="s">
        <v>335</v>
      </c>
      <c r="B312" s="115"/>
      <c r="C312" s="115"/>
      <c r="D312" s="115"/>
      <c r="E312" s="115"/>
      <c r="F312" s="115"/>
      <c r="G312" s="122"/>
      <c r="H312" s="118">
        <f t="shared" si="29"/>
        <v>0</v>
      </c>
      <c r="I312" s="125"/>
      <c r="J312" s="125"/>
      <c r="K312" s="113"/>
      <c r="L312" s="113"/>
      <c r="M312" s="113"/>
      <c r="N312" s="113"/>
    </row>
    <row r="313" spans="1:14" s="8" customFormat="1" ht="17.25" customHeight="1">
      <c r="A313" s="143" t="s">
        <v>336</v>
      </c>
      <c r="B313" s="115"/>
      <c r="C313" s="115">
        <v>226</v>
      </c>
      <c r="D313" s="115">
        <v>800000000</v>
      </c>
      <c r="E313" s="115">
        <v>244</v>
      </c>
      <c r="F313" s="115">
        <v>226</v>
      </c>
      <c r="G313" s="102" t="s">
        <v>533</v>
      </c>
      <c r="H313" s="118">
        <f t="shared" si="29"/>
        <v>101269</v>
      </c>
      <c r="I313" s="125">
        <v>101269</v>
      </c>
      <c r="J313" s="125"/>
      <c r="K313" s="113"/>
      <c r="L313" s="113"/>
      <c r="M313" s="113"/>
      <c r="N313" s="113"/>
    </row>
    <row r="314" spans="1:14" s="8" customFormat="1" ht="17.25" customHeight="1">
      <c r="A314" s="143" t="s">
        <v>336</v>
      </c>
      <c r="B314" s="115"/>
      <c r="C314" s="115">
        <v>226</v>
      </c>
      <c r="D314" s="115">
        <v>800000000</v>
      </c>
      <c r="E314" s="115">
        <v>244</v>
      </c>
      <c r="F314" s="115">
        <v>226</v>
      </c>
      <c r="G314" s="102" t="s">
        <v>534</v>
      </c>
      <c r="H314" s="118">
        <f t="shared" si="29"/>
        <v>204187.9</v>
      </c>
      <c r="I314" s="125">
        <v>204187.9</v>
      </c>
      <c r="J314" s="125"/>
      <c r="K314" s="113"/>
      <c r="L314" s="113"/>
      <c r="M314" s="113"/>
      <c r="N314" s="113"/>
    </row>
    <row r="315" spans="1:14" s="8" customFormat="1" ht="17.25" customHeight="1">
      <c r="A315" s="143" t="s">
        <v>336</v>
      </c>
      <c r="B315" s="115"/>
      <c r="C315" s="115">
        <v>226</v>
      </c>
      <c r="D315" s="116" t="s">
        <v>523</v>
      </c>
      <c r="E315" s="115">
        <v>244</v>
      </c>
      <c r="F315" s="115">
        <v>226</v>
      </c>
      <c r="G315" s="102" t="s">
        <v>535</v>
      </c>
      <c r="H315" s="118">
        <f t="shared" si="29"/>
        <v>774014.58</v>
      </c>
      <c r="I315" s="125">
        <v>0</v>
      </c>
      <c r="J315" s="125"/>
      <c r="K315" s="113"/>
      <c r="L315" s="113"/>
      <c r="M315" s="113">
        <v>774014.58</v>
      </c>
      <c r="N315" s="113"/>
    </row>
    <row r="316" spans="1:14" s="8" customFormat="1" ht="17.25" customHeight="1">
      <c r="A316" s="143" t="s">
        <v>400</v>
      </c>
      <c r="B316" s="115"/>
      <c r="C316" s="115">
        <v>296</v>
      </c>
      <c r="D316" s="115"/>
      <c r="E316" s="115">
        <v>244</v>
      </c>
      <c r="F316" s="115">
        <v>296</v>
      </c>
      <c r="G316" s="122"/>
      <c r="H316" s="118">
        <f t="shared" si="29"/>
        <v>0</v>
      </c>
      <c r="I316" s="125"/>
      <c r="J316" s="125"/>
      <c r="K316" s="113"/>
      <c r="L316" s="113"/>
      <c r="M316" s="113"/>
      <c r="N316" s="113"/>
    </row>
    <row r="317" spans="1:14" s="8" customFormat="1" ht="17.25" customHeight="1">
      <c r="A317" s="137" t="s">
        <v>53</v>
      </c>
      <c r="B317" s="115">
        <v>300</v>
      </c>
      <c r="C317" s="115" t="s">
        <v>10</v>
      </c>
      <c r="D317" s="115"/>
      <c r="E317" s="115"/>
      <c r="F317" s="115" t="s">
        <v>10</v>
      </c>
      <c r="G317" s="122"/>
      <c r="H317" s="118">
        <f>H319+H320</f>
        <v>0</v>
      </c>
      <c r="I317" s="125">
        <f aca="true" t="shared" si="30" ref="I317:N317">I319+I320</f>
        <v>0</v>
      </c>
      <c r="J317" s="125">
        <f t="shared" si="30"/>
        <v>0</v>
      </c>
      <c r="K317" s="125">
        <f t="shared" si="30"/>
        <v>0</v>
      </c>
      <c r="L317" s="125">
        <f t="shared" si="30"/>
        <v>0</v>
      </c>
      <c r="M317" s="125">
        <f t="shared" si="30"/>
        <v>0</v>
      </c>
      <c r="N317" s="125">
        <f t="shared" si="30"/>
        <v>0</v>
      </c>
    </row>
    <row r="318" spans="1:14" s="8" customFormat="1" ht="14.25" customHeight="1">
      <c r="A318" s="137" t="s">
        <v>3</v>
      </c>
      <c r="B318" s="115"/>
      <c r="C318" s="149"/>
      <c r="D318" s="115"/>
      <c r="E318" s="115"/>
      <c r="F318" s="149"/>
      <c r="G318" s="150"/>
      <c r="H318" s="118"/>
      <c r="I318" s="125"/>
      <c r="J318" s="125"/>
      <c r="K318" s="113"/>
      <c r="L318" s="113"/>
      <c r="M318" s="113"/>
      <c r="N318" s="113"/>
    </row>
    <row r="319" spans="1:14" s="8" customFormat="1" ht="16.5" customHeight="1">
      <c r="A319" s="137" t="s">
        <v>54</v>
      </c>
      <c r="B319" s="145">
        <v>310</v>
      </c>
      <c r="C319" s="151"/>
      <c r="D319" s="145"/>
      <c r="E319" s="145"/>
      <c r="F319" s="151"/>
      <c r="G319" s="152"/>
      <c r="H319" s="118">
        <f>I319+J319+K319+L319+M319+N319</f>
        <v>0</v>
      </c>
      <c r="I319" s="125"/>
      <c r="J319" s="125"/>
      <c r="K319" s="113"/>
      <c r="L319" s="113"/>
      <c r="M319" s="113"/>
      <c r="N319" s="113"/>
    </row>
    <row r="320" spans="1:14" s="153" customFormat="1" ht="15" customHeight="1">
      <c r="A320" s="137" t="s">
        <v>55</v>
      </c>
      <c r="B320" s="115">
        <v>320</v>
      </c>
      <c r="C320" s="115"/>
      <c r="D320" s="115"/>
      <c r="E320" s="115"/>
      <c r="F320" s="115"/>
      <c r="G320" s="122"/>
      <c r="H320" s="118">
        <f>I320+J320+K320+L320+M320+N320</f>
        <v>0</v>
      </c>
      <c r="I320" s="125"/>
      <c r="J320" s="125"/>
      <c r="K320" s="113"/>
      <c r="L320" s="113"/>
      <c r="M320" s="113"/>
      <c r="N320" s="113"/>
    </row>
    <row r="321" spans="1:14" s="153" customFormat="1" ht="17.25" customHeight="1">
      <c r="A321" s="137" t="s">
        <v>56</v>
      </c>
      <c r="B321" s="115">
        <v>400</v>
      </c>
      <c r="C321" s="115"/>
      <c r="D321" s="115"/>
      <c r="E321" s="115"/>
      <c r="F321" s="115"/>
      <c r="G321" s="122"/>
      <c r="H321" s="118">
        <f>H323+H324</f>
        <v>0</v>
      </c>
      <c r="I321" s="125">
        <f aca="true" t="shared" si="31" ref="I321:N321">I323+I324</f>
        <v>0</v>
      </c>
      <c r="J321" s="125">
        <f t="shared" si="31"/>
        <v>0</v>
      </c>
      <c r="K321" s="125">
        <f t="shared" si="31"/>
        <v>0</v>
      </c>
      <c r="L321" s="125">
        <f t="shared" si="31"/>
        <v>0</v>
      </c>
      <c r="M321" s="125">
        <f t="shared" si="31"/>
        <v>0</v>
      </c>
      <c r="N321" s="125">
        <f t="shared" si="31"/>
        <v>0</v>
      </c>
    </row>
    <row r="322" spans="1:14" s="153" customFormat="1" ht="14.25" customHeight="1">
      <c r="A322" s="137" t="s">
        <v>3</v>
      </c>
      <c r="B322" s="115"/>
      <c r="C322" s="149"/>
      <c r="D322" s="115"/>
      <c r="E322" s="115"/>
      <c r="F322" s="149"/>
      <c r="G322" s="150"/>
      <c r="H322" s="118"/>
      <c r="I322" s="125"/>
      <c r="J322" s="125"/>
      <c r="K322" s="113"/>
      <c r="L322" s="113"/>
      <c r="M322" s="113"/>
      <c r="N322" s="113"/>
    </row>
    <row r="323" spans="1:14" s="153" customFormat="1" ht="15.75" customHeight="1">
      <c r="A323" s="137" t="s">
        <v>57</v>
      </c>
      <c r="B323" s="145">
        <v>410</v>
      </c>
      <c r="C323" s="151"/>
      <c r="D323" s="145"/>
      <c r="E323" s="145"/>
      <c r="F323" s="151"/>
      <c r="G323" s="152"/>
      <c r="H323" s="118">
        <f aca="true" t="shared" si="32" ref="H323:H332">I323+J323+K323+L323+M323+N323</f>
        <v>0</v>
      </c>
      <c r="I323" s="125"/>
      <c r="J323" s="125"/>
      <c r="K323" s="113"/>
      <c r="L323" s="113"/>
      <c r="M323" s="113"/>
      <c r="N323" s="113"/>
    </row>
    <row r="324" spans="1:14" s="153" customFormat="1" ht="13.5" customHeight="1">
      <c r="A324" s="137" t="s">
        <v>58</v>
      </c>
      <c r="B324" s="115">
        <v>420</v>
      </c>
      <c r="C324" s="115"/>
      <c r="D324" s="115"/>
      <c r="E324" s="115"/>
      <c r="F324" s="115"/>
      <c r="G324" s="122"/>
      <c r="H324" s="118">
        <f t="shared" si="32"/>
        <v>0</v>
      </c>
      <c r="I324" s="125"/>
      <c r="J324" s="125"/>
      <c r="K324" s="113"/>
      <c r="L324" s="113"/>
      <c r="M324" s="113"/>
      <c r="N324" s="113"/>
    </row>
    <row r="325" spans="1:14" s="153" customFormat="1" ht="28.5" customHeight="1">
      <c r="A325" s="137" t="s">
        <v>337</v>
      </c>
      <c r="B325" s="115">
        <v>500</v>
      </c>
      <c r="C325" s="115" t="s">
        <v>10</v>
      </c>
      <c r="D325" s="115"/>
      <c r="E325" s="115"/>
      <c r="F325" s="115" t="s">
        <v>10</v>
      </c>
      <c r="G325" s="122"/>
      <c r="H325" s="118">
        <f t="shared" si="32"/>
        <v>0</v>
      </c>
      <c r="I325" s="125">
        <f>I326+I327</f>
        <v>0</v>
      </c>
      <c r="J325" s="125">
        <f>J326+J327</f>
        <v>0</v>
      </c>
      <c r="K325" s="125">
        <f>K326+K327</f>
        <v>0</v>
      </c>
      <c r="L325" s="125">
        <f>L326+L327</f>
        <v>0</v>
      </c>
      <c r="M325" s="125">
        <f>M326+M327+M328+M329+M330+M331</f>
        <v>0</v>
      </c>
      <c r="N325" s="125">
        <f>N326+N327</f>
        <v>0</v>
      </c>
    </row>
    <row r="326" spans="1:14" s="153" customFormat="1" ht="18" customHeight="1">
      <c r="A326" s="137" t="s">
        <v>59</v>
      </c>
      <c r="B326" s="115"/>
      <c r="C326" s="115">
        <v>131</v>
      </c>
      <c r="D326" s="115">
        <v>800000000</v>
      </c>
      <c r="E326" s="115"/>
      <c r="F326" s="115">
        <v>131</v>
      </c>
      <c r="G326" s="102" t="s">
        <v>534</v>
      </c>
      <c r="H326" s="118">
        <f t="shared" si="32"/>
        <v>0</v>
      </c>
      <c r="I326" s="154">
        <v>0</v>
      </c>
      <c r="J326" s="125"/>
      <c r="K326" s="113"/>
      <c r="L326" s="113"/>
      <c r="M326" s="113"/>
      <c r="N326" s="113"/>
    </row>
    <row r="327" spans="1:14" s="153" customFormat="1" ht="18" customHeight="1">
      <c r="A327" s="137" t="s">
        <v>59</v>
      </c>
      <c r="B327" s="115"/>
      <c r="C327" s="115">
        <v>152</v>
      </c>
      <c r="D327" s="115">
        <v>901480000</v>
      </c>
      <c r="E327" s="115"/>
      <c r="F327" s="115">
        <v>152</v>
      </c>
      <c r="G327" s="122" t="s">
        <v>537</v>
      </c>
      <c r="H327" s="118">
        <f t="shared" si="32"/>
        <v>0</v>
      </c>
      <c r="I327" s="154">
        <v>0</v>
      </c>
      <c r="J327" s="125"/>
      <c r="K327" s="113"/>
      <c r="L327" s="113"/>
      <c r="M327" s="113"/>
      <c r="N327" s="113"/>
    </row>
    <row r="328" spans="1:14" s="153" customFormat="1" ht="18" customHeight="1">
      <c r="A328" s="137" t="s">
        <v>59</v>
      </c>
      <c r="B328" s="115"/>
      <c r="C328" s="115">
        <v>121</v>
      </c>
      <c r="D328" s="116" t="s">
        <v>523</v>
      </c>
      <c r="E328" s="115"/>
      <c r="F328" s="115">
        <v>121</v>
      </c>
      <c r="G328" s="102" t="s">
        <v>535</v>
      </c>
      <c r="H328" s="118">
        <f t="shared" si="32"/>
        <v>0</v>
      </c>
      <c r="I328" s="154">
        <v>0</v>
      </c>
      <c r="J328" s="125"/>
      <c r="K328" s="113"/>
      <c r="L328" s="113"/>
      <c r="M328" s="113"/>
      <c r="N328" s="113"/>
    </row>
    <row r="329" spans="1:14" s="153" customFormat="1" ht="18" customHeight="1">
      <c r="A329" s="137" t="s">
        <v>59</v>
      </c>
      <c r="B329" s="115"/>
      <c r="C329" s="115">
        <v>131</v>
      </c>
      <c r="D329" s="116" t="s">
        <v>523</v>
      </c>
      <c r="E329" s="115"/>
      <c r="F329" s="115">
        <v>131</v>
      </c>
      <c r="G329" s="102" t="s">
        <v>535</v>
      </c>
      <c r="H329" s="118">
        <f t="shared" si="32"/>
        <v>0</v>
      </c>
      <c r="I329" s="154">
        <v>0</v>
      </c>
      <c r="J329" s="125"/>
      <c r="K329" s="113"/>
      <c r="L329" s="113"/>
      <c r="M329" s="113"/>
      <c r="N329" s="113"/>
    </row>
    <row r="330" spans="1:14" s="153" customFormat="1" ht="18" customHeight="1">
      <c r="A330" s="137" t="s">
        <v>59</v>
      </c>
      <c r="B330" s="115"/>
      <c r="C330" s="115">
        <v>135</v>
      </c>
      <c r="D330" s="116" t="s">
        <v>523</v>
      </c>
      <c r="E330" s="115"/>
      <c r="F330" s="115">
        <v>135</v>
      </c>
      <c r="G330" s="102" t="s">
        <v>535</v>
      </c>
      <c r="H330" s="118">
        <f t="shared" si="32"/>
        <v>0</v>
      </c>
      <c r="I330" s="154">
        <v>0</v>
      </c>
      <c r="J330" s="125"/>
      <c r="K330" s="113"/>
      <c r="L330" s="113"/>
      <c r="M330" s="113"/>
      <c r="N330" s="113"/>
    </row>
    <row r="331" spans="1:14" s="153" customFormat="1" ht="18" customHeight="1">
      <c r="A331" s="137" t="s">
        <v>59</v>
      </c>
      <c r="B331" s="115"/>
      <c r="C331" s="115">
        <v>189</v>
      </c>
      <c r="D331" s="116" t="s">
        <v>523</v>
      </c>
      <c r="E331" s="115"/>
      <c r="F331" s="115">
        <v>189</v>
      </c>
      <c r="G331" s="102" t="s">
        <v>535</v>
      </c>
      <c r="H331" s="118">
        <f t="shared" si="32"/>
        <v>0</v>
      </c>
      <c r="I331" s="154">
        <v>0</v>
      </c>
      <c r="J331" s="125"/>
      <c r="K331" s="113"/>
      <c r="L331" s="113"/>
      <c r="M331" s="113"/>
      <c r="N331" s="113"/>
    </row>
    <row r="332" spans="1:14" s="153" customFormat="1" ht="18" customHeight="1">
      <c r="A332" s="137" t="s">
        <v>60</v>
      </c>
      <c r="B332" s="115">
        <v>600</v>
      </c>
      <c r="C332" s="115" t="s">
        <v>10</v>
      </c>
      <c r="D332" s="115"/>
      <c r="E332" s="115"/>
      <c r="F332" s="115" t="s">
        <v>10</v>
      </c>
      <c r="G332" s="122"/>
      <c r="H332" s="155">
        <f t="shared" si="32"/>
        <v>0</v>
      </c>
      <c r="I332" s="156">
        <f>I179-I235</f>
        <v>0</v>
      </c>
      <c r="J332" s="156">
        <f>J179-J235</f>
        <v>0</v>
      </c>
      <c r="K332" s="156"/>
      <c r="L332" s="156"/>
      <c r="M332" s="156">
        <f>M179-M235</f>
        <v>0</v>
      </c>
      <c r="N332" s="120"/>
    </row>
    <row r="333" spans="1:14" ht="15">
      <c r="A333" s="66"/>
      <c r="B333" s="67"/>
      <c r="C333" s="67"/>
      <c r="D333" s="67"/>
      <c r="E333" s="67"/>
      <c r="F333" s="67"/>
      <c r="G333" s="67"/>
      <c r="H333" s="68"/>
      <c r="I333" s="69"/>
      <c r="J333" s="69"/>
      <c r="K333" s="69"/>
      <c r="L333" s="69"/>
      <c r="M333" s="69"/>
      <c r="N333" s="69"/>
    </row>
    <row r="334" spans="1:14" ht="15">
      <c r="A334" s="66"/>
      <c r="B334" s="67"/>
      <c r="C334" s="67"/>
      <c r="D334" s="67"/>
      <c r="E334" s="67"/>
      <c r="F334" s="67"/>
      <c r="G334" s="67"/>
      <c r="H334" s="68"/>
      <c r="I334" s="69"/>
      <c r="J334" s="69"/>
      <c r="K334" s="69"/>
      <c r="L334" s="69"/>
      <c r="M334" s="69"/>
      <c r="N334" s="23" t="s">
        <v>380</v>
      </c>
    </row>
    <row r="335" spans="1:14" ht="12.75" customHeight="1">
      <c r="A335" s="38"/>
      <c r="B335" s="21"/>
      <c r="C335" s="21"/>
      <c r="D335" s="21"/>
      <c r="E335" s="21"/>
      <c r="F335" s="21"/>
      <c r="G335" s="21"/>
      <c r="H335" s="448" t="s">
        <v>41</v>
      </c>
      <c r="I335" s="448"/>
      <c r="J335" s="448"/>
      <c r="K335" s="448"/>
      <c r="L335" s="21"/>
      <c r="M335" s="21"/>
      <c r="N335" s="21"/>
    </row>
    <row r="336" spans="1:14" ht="12.75" customHeight="1">
      <c r="A336" s="38"/>
      <c r="B336" s="21"/>
      <c r="C336" s="21"/>
      <c r="D336" s="21"/>
      <c r="E336" s="21"/>
      <c r="F336" s="21"/>
      <c r="G336" s="21"/>
      <c r="H336" s="447" t="s">
        <v>522</v>
      </c>
      <c r="I336" s="447"/>
      <c r="J336" s="447"/>
      <c r="K336" s="447"/>
      <c r="L336" s="21"/>
      <c r="M336" s="21"/>
      <c r="N336" s="21"/>
    </row>
    <row r="337" spans="1:14" ht="12.75" customHeight="1">
      <c r="A337" s="38"/>
      <c r="B337" s="21"/>
      <c r="C337" s="21"/>
      <c r="D337" s="21"/>
      <c r="E337" s="21"/>
      <c r="F337" s="21"/>
      <c r="G337" s="21"/>
      <c r="H337" s="22"/>
      <c r="I337" s="22"/>
      <c r="J337" s="22"/>
      <c r="K337" s="22"/>
      <c r="L337" s="21"/>
      <c r="M337" s="21"/>
      <c r="N337" s="21"/>
    </row>
    <row r="338" spans="1:15" s="8" customFormat="1" ht="18" customHeight="1">
      <c r="A338" s="443" t="s">
        <v>1</v>
      </c>
      <c r="B338" s="439" t="s">
        <v>45</v>
      </c>
      <c r="C338" s="427" t="s">
        <v>397</v>
      </c>
      <c r="D338" s="449" t="s">
        <v>163</v>
      </c>
      <c r="E338" s="436" t="s">
        <v>164</v>
      </c>
      <c r="F338" s="439" t="s">
        <v>165</v>
      </c>
      <c r="G338" s="430" t="s">
        <v>338</v>
      </c>
      <c r="H338" s="433" t="s">
        <v>38</v>
      </c>
      <c r="I338" s="434"/>
      <c r="J338" s="434"/>
      <c r="K338" s="434"/>
      <c r="L338" s="434"/>
      <c r="M338" s="434"/>
      <c r="N338" s="435"/>
      <c r="O338" s="64"/>
    </row>
    <row r="339" spans="1:15" s="8" customFormat="1" ht="16.5" customHeight="1">
      <c r="A339" s="444"/>
      <c r="B339" s="439"/>
      <c r="C339" s="428"/>
      <c r="D339" s="450"/>
      <c r="E339" s="437"/>
      <c r="F339" s="439"/>
      <c r="G339" s="431"/>
      <c r="H339" s="436" t="s">
        <v>33</v>
      </c>
      <c r="I339" s="439" t="s">
        <v>4</v>
      </c>
      <c r="J339" s="439"/>
      <c r="K339" s="439"/>
      <c r="L339" s="439"/>
      <c r="M339" s="439"/>
      <c r="N339" s="439"/>
      <c r="O339" s="64"/>
    </row>
    <row r="340" spans="1:15" s="8" customFormat="1" ht="68.25" customHeight="1">
      <c r="A340" s="444"/>
      <c r="B340" s="439"/>
      <c r="C340" s="428"/>
      <c r="D340" s="450"/>
      <c r="E340" s="437"/>
      <c r="F340" s="439"/>
      <c r="G340" s="431"/>
      <c r="H340" s="437"/>
      <c r="I340" s="440" t="s">
        <v>398</v>
      </c>
      <c r="J340" s="425" t="s">
        <v>166</v>
      </c>
      <c r="K340" s="438" t="s">
        <v>34</v>
      </c>
      <c r="L340" s="437" t="s">
        <v>35</v>
      </c>
      <c r="M340" s="438" t="s">
        <v>50</v>
      </c>
      <c r="N340" s="438"/>
      <c r="O340" s="64"/>
    </row>
    <row r="341" spans="1:15" s="8" customFormat="1" ht="30.75" customHeight="1">
      <c r="A341" s="445"/>
      <c r="B341" s="439"/>
      <c r="C341" s="429"/>
      <c r="D341" s="451"/>
      <c r="E341" s="438"/>
      <c r="F341" s="439"/>
      <c r="G341" s="432"/>
      <c r="H341" s="438"/>
      <c r="I341" s="441"/>
      <c r="J341" s="426"/>
      <c r="K341" s="439"/>
      <c r="L341" s="438"/>
      <c r="M341" s="42" t="s">
        <v>36</v>
      </c>
      <c r="N341" s="42" t="s">
        <v>37</v>
      </c>
      <c r="O341" s="64"/>
    </row>
    <row r="342" spans="1:15" s="9" customFormat="1" ht="12">
      <c r="A342" s="24">
        <v>2</v>
      </c>
      <c r="B342" s="24">
        <v>3</v>
      </c>
      <c r="C342" s="24"/>
      <c r="D342" s="24">
        <v>4</v>
      </c>
      <c r="E342" s="24">
        <v>5</v>
      </c>
      <c r="F342" s="24">
        <v>6</v>
      </c>
      <c r="G342" s="24">
        <v>7</v>
      </c>
      <c r="H342" s="17">
        <v>8</v>
      </c>
      <c r="I342" s="17">
        <v>9</v>
      </c>
      <c r="J342" s="17">
        <v>10</v>
      </c>
      <c r="K342" s="17">
        <v>11</v>
      </c>
      <c r="L342" s="17">
        <v>12</v>
      </c>
      <c r="M342" s="17">
        <v>13</v>
      </c>
      <c r="N342" s="17">
        <v>14</v>
      </c>
      <c r="O342" s="65"/>
    </row>
    <row r="343" spans="1:14" s="107" customFormat="1" ht="12.75">
      <c r="A343" s="103" t="s">
        <v>43</v>
      </c>
      <c r="B343" s="104">
        <v>100</v>
      </c>
      <c r="C343" s="104"/>
      <c r="D343" s="104"/>
      <c r="E343" s="104"/>
      <c r="F343" s="104" t="s">
        <v>10</v>
      </c>
      <c r="G343" s="105"/>
      <c r="H343" s="106">
        <f>H345+H349+H382</f>
        <v>38575022.099999994</v>
      </c>
      <c r="I343" s="106">
        <f>I349</f>
        <v>31789495.74</v>
      </c>
      <c r="J343" s="106">
        <f>J382</f>
        <v>0</v>
      </c>
      <c r="K343" s="106">
        <f>K383</f>
        <v>0</v>
      </c>
      <c r="L343" s="106">
        <f>L349</f>
        <v>0</v>
      </c>
      <c r="M343" s="106">
        <f>M345+M349+M381+M390</f>
        <v>6785526.36</v>
      </c>
      <c r="N343" s="106">
        <f>N349+N390</f>
        <v>0</v>
      </c>
    </row>
    <row r="344" spans="1:14" s="107" customFormat="1" ht="12.75">
      <c r="A344" s="108" t="s">
        <v>3</v>
      </c>
      <c r="B344" s="109"/>
      <c r="C344" s="109"/>
      <c r="D344" s="109"/>
      <c r="E344" s="109"/>
      <c r="F344" s="109"/>
      <c r="G344" s="110"/>
      <c r="H344" s="111"/>
      <c r="I344" s="111"/>
      <c r="J344" s="111"/>
      <c r="K344" s="112"/>
      <c r="L344" s="112"/>
      <c r="M344" s="113"/>
      <c r="N344" s="112"/>
    </row>
    <row r="345" spans="1:14" s="121" customFormat="1" ht="17.25" customHeight="1">
      <c r="A345" s="114" t="s">
        <v>32</v>
      </c>
      <c r="B345" s="115">
        <v>110</v>
      </c>
      <c r="C345" s="115">
        <v>120</v>
      </c>
      <c r="D345" s="116" t="s">
        <v>523</v>
      </c>
      <c r="E345" s="115"/>
      <c r="F345" s="115">
        <v>120</v>
      </c>
      <c r="G345" s="117" t="s">
        <v>363</v>
      </c>
      <c r="H345" s="118">
        <f>M345</f>
        <v>750526.36</v>
      </c>
      <c r="I345" s="115" t="s">
        <v>74</v>
      </c>
      <c r="J345" s="115" t="s">
        <v>74</v>
      </c>
      <c r="K345" s="119" t="s">
        <v>10</v>
      </c>
      <c r="L345" s="119" t="s">
        <v>10</v>
      </c>
      <c r="M345" s="120">
        <f>M347+M348</f>
        <v>750526.36</v>
      </c>
      <c r="N345" s="119" t="s">
        <v>10</v>
      </c>
    </row>
    <row r="346" spans="1:14" s="121" customFormat="1" ht="12.75">
      <c r="A346" s="114" t="s">
        <v>364</v>
      </c>
      <c r="B346" s="115"/>
      <c r="C346" s="115"/>
      <c r="D346" s="116"/>
      <c r="E346" s="115"/>
      <c r="F346" s="115"/>
      <c r="G346" s="122"/>
      <c r="H346" s="118"/>
      <c r="I346" s="122"/>
      <c r="J346" s="115"/>
      <c r="K346" s="119"/>
      <c r="L346" s="123"/>
      <c r="M346" s="118"/>
      <c r="N346" s="123"/>
    </row>
    <row r="347" spans="1:14" s="121" customFormat="1" ht="14.25" customHeight="1">
      <c r="A347" s="114" t="s">
        <v>365</v>
      </c>
      <c r="B347" s="115"/>
      <c r="C347" s="115">
        <v>121</v>
      </c>
      <c r="D347" s="116" t="s">
        <v>523</v>
      </c>
      <c r="E347" s="115"/>
      <c r="F347" s="115">
        <v>121</v>
      </c>
      <c r="G347" s="117" t="s">
        <v>363</v>
      </c>
      <c r="H347" s="118">
        <f>SUM(I347:M347)</f>
        <v>700526.36</v>
      </c>
      <c r="I347" s="122"/>
      <c r="J347" s="115"/>
      <c r="K347" s="119"/>
      <c r="L347" s="123"/>
      <c r="M347" s="118">
        <v>700526.36</v>
      </c>
      <c r="N347" s="123"/>
    </row>
    <row r="348" spans="1:14" s="121" customFormat="1" ht="21" customHeight="1">
      <c r="A348" s="114" t="s">
        <v>366</v>
      </c>
      <c r="B348" s="115"/>
      <c r="C348" s="115">
        <v>124</v>
      </c>
      <c r="D348" s="116" t="s">
        <v>523</v>
      </c>
      <c r="E348" s="115"/>
      <c r="F348" s="115">
        <v>124</v>
      </c>
      <c r="G348" s="117" t="s">
        <v>363</v>
      </c>
      <c r="H348" s="118">
        <f>SUM(I348:M348)</f>
        <v>50000</v>
      </c>
      <c r="I348" s="122"/>
      <c r="J348" s="115"/>
      <c r="K348" s="119"/>
      <c r="L348" s="123"/>
      <c r="M348" s="118">
        <v>50000</v>
      </c>
      <c r="N348" s="123"/>
    </row>
    <row r="349" spans="1:14" s="121" customFormat="1" ht="23.25" customHeight="1">
      <c r="A349" s="114" t="s">
        <v>367</v>
      </c>
      <c r="B349" s="115">
        <v>120</v>
      </c>
      <c r="C349" s="115">
        <v>130</v>
      </c>
      <c r="D349" s="116" t="s">
        <v>523</v>
      </c>
      <c r="E349" s="115"/>
      <c r="F349" s="115">
        <v>130</v>
      </c>
      <c r="G349" s="122"/>
      <c r="H349" s="118">
        <f>I349+L349+M349+N349</f>
        <v>37824495.739999995</v>
      </c>
      <c r="I349" s="118">
        <f>SUM(I350:I372)</f>
        <v>31789495.74</v>
      </c>
      <c r="J349" s="115" t="s">
        <v>74</v>
      </c>
      <c r="K349" s="115" t="s">
        <v>74</v>
      </c>
      <c r="L349" s="118">
        <f>L350+L352+L354+L356+L358+L360+L361+L362+L363+L364+L365+L366+L367+L368+L369+L370+L371+L372</f>
        <v>0</v>
      </c>
      <c r="M349" s="118">
        <f>M350+M352+M354+M356+M358+M360+M361+M362+M363+M364+M365+M366+M367+M368+M369+M370+M371+M372+M353+M373</f>
        <v>6035000</v>
      </c>
      <c r="N349" s="118">
        <f>N350+N352+N354+N356+N358+N360+N361+N362+N363+N364+N365+N366+N367</f>
        <v>0</v>
      </c>
    </row>
    <row r="350" spans="1:14" s="107" customFormat="1" ht="27.75" customHeight="1">
      <c r="A350" s="124" t="s">
        <v>342</v>
      </c>
      <c r="B350" s="115"/>
      <c r="C350" s="115">
        <v>131</v>
      </c>
      <c r="D350" s="115">
        <v>800000000</v>
      </c>
      <c r="E350" s="115"/>
      <c r="F350" s="115">
        <v>131</v>
      </c>
      <c r="G350" s="181" t="s">
        <v>526</v>
      </c>
      <c r="H350" s="125">
        <f>I350+J350+K350+L350+M350</f>
        <v>0</v>
      </c>
      <c r="I350" s="125">
        <v>0</v>
      </c>
      <c r="J350" s="125">
        <v>0</v>
      </c>
      <c r="K350" s="112"/>
      <c r="L350" s="111"/>
      <c r="M350" s="125">
        <v>0</v>
      </c>
      <c r="N350" s="125"/>
    </row>
    <row r="351" spans="1:14" s="107" customFormat="1" ht="12" customHeight="1">
      <c r="A351" s="124" t="s">
        <v>356</v>
      </c>
      <c r="B351" s="115"/>
      <c r="C351" s="115">
        <v>131</v>
      </c>
      <c r="D351" s="115">
        <v>800000000</v>
      </c>
      <c r="E351" s="115"/>
      <c r="F351" s="115">
        <v>131</v>
      </c>
      <c r="G351" s="181" t="s">
        <v>527</v>
      </c>
      <c r="H351" s="125">
        <f>I351+J351+K351+L351+M351</f>
        <v>0</v>
      </c>
      <c r="I351" s="125">
        <v>0</v>
      </c>
      <c r="J351" s="125">
        <v>0</v>
      </c>
      <c r="K351" s="112"/>
      <c r="L351" s="111"/>
      <c r="M351" s="125">
        <v>0</v>
      </c>
      <c r="N351" s="125"/>
    </row>
    <row r="352" spans="1:14" s="107" customFormat="1" ht="12" customHeight="1">
      <c r="A352" s="114" t="s">
        <v>343</v>
      </c>
      <c r="B352" s="115"/>
      <c r="C352" s="115">
        <v>131</v>
      </c>
      <c r="D352" s="115">
        <v>800000000</v>
      </c>
      <c r="E352" s="115"/>
      <c r="F352" s="115">
        <v>131</v>
      </c>
      <c r="G352" s="181" t="s">
        <v>526</v>
      </c>
      <c r="H352" s="125">
        <f aca="true" t="shared" si="33" ref="H352:H370">I352+J352+K352+L352+M352</f>
        <v>0</v>
      </c>
      <c r="I352" s="125">
        <v>0</v>
      </c>
      <c r="J352" s="125">
        <v>0</v>
      </c>
      <c r="K352" s="112"/>
      <c r="L352" s="111"/>
      <c r="M352" s="125">
        <v>0</v>
      </c>
      <c r="N352" s="125"/>
    </row>
    <row r="353" spans="1:14" s="121" customFormat="1" ht="12" customHeight="1">
      <c r="A353" s="114" t="s">
        <v>343</v>
      </c>
      <c r="B353" s="115"/>
      <c r="C353" s="115">
        <v>131</v>
      </c>
      <c r="D353" s="116" t="s">
        <v>523</v>
      </c>
      <c r="E353" s="115"/>
      <c r="F353" s="115">
        <v>131</v>
      </c>
      <c r="G353" s="117" t="s">
        <v>363</v>
      </c>
      <c r="H353" s="118">
        <f t="shared" si="33"/>
        <v>0</v>
      </c>
      <c r="I353" s="118">
        <v>0</v>
      </c>
      <c r="J353" s="118">
        <v>0</v>
      </c>
      <c r="K353" s="119"/>
      <c r="L353" s="123"/>
      <c r="M353" s="118">
        <v>0</v>
      </c>
      <c r="N353" s="118"/>
    </row>
    <row r="354" spans="1:14" s="107" customFormat="1" ht="26.25" customHeight="1">
      <c r="A354" s="108" t="s">
        <v>344</v>
      </c>
      <c r="B354" s="109"/>
      <c r="C354" s="109">
        <v>131</v>
      </c>
      <c r="D354" s="115">
        <v>800000000</v>
      </c>
      <c r="E354" s="109"/>
      <c r="F354" s="109">
        <v>131</v>
      </c>
      <c r="G354" s="181" t="s">
        <v>527</v>
      </c>
      <c r="H354" s="125">
        <f t="shared" si="33"/>
        <v>8963522.7</v>
      </c>
      <c r="I354" s="125">
        <f>292941+8670581.7</f>
        <v>8963522.7</v>
      </c>
      <c r="J354" s="125"/>
      <c r="K354" s="112"/>
      <c r="L354" s="111"/>
      <c r="M354" s="125"/>
      <c r="N354" s="125"/>
    </row>
    <row r="355" spans="1:14" s="107" customFormat="1" ht="26.25" customHeight="1">
      <c r="A355" s="108" t="s">
        <v>344</v>
      </c>
      <c r="B355" s="109"/>
      <c r="C355" s="109">
        <v>131</v>
      </c>
      <c r="D355" s="115">
        <v>800000000</v>
      </c>
      <c r="E355" s="109"/>
      <c r="F355" s="109">
        <v>131</v>
      </c>
      <c r="G355" s="102" t="s">
        <v>529</v>
      </c>
      <c r="H355" s="125">
        <f t="shared" si="33"/>
        <v>1712009.64</v>
      </c>
      <c r="I355" s="125">
        <f>1712009.64</f>
        <v>1712009.64</v>
      </c>
      <c r="J355" s="125"/>
      <c r="K355" s="112"/>
      <c r="L355" s="111"/>
      <c r="M355" s="125"/>
      <c r="N355" s="125"/>
    </row>
    <row r="356" spans="1:14" s="107" customFormat="1" ht="26.25" customHeight="1">
      <c r="A356" s="108" t="s">
        <v>345</v>
      </c>
      <c r="B356" s="109"/>
      <c r="C356" s="109">
        <v>131</v>
      </c>
      <c r="D356" s="115">
        <v>800000000</v>
      </c>
      <c r="E356" s="109"/>
      <c r="F356" s="109">
        <v>131</v>
      </c>
      <c r="G356" s="181" t="s">
        <v>527</v>
      </c>
      <c r="H356" s="125">
        <f t="shared" si="33"/>
        <v>11162689.2</v>
      </c>
      <c r="I356" s="125">
        <f>360180+10802509.2</f>
        <v>11162689.2</v>
      </c>
      <c r="J356" s="125"/>
      <c r="K356" s="112"/>
      <c r="L356" s="111"/>
      <c r="M356" s="125"/>
      <c r="N356" s="125"/>
    </row>
    <row r="357" spans="1:14" s="107" customFormat="1" ht="27.75" customHeight="1">
      <c r="A357" s="108" t="s">
        <v>345</v>
      </c>
      <c r="B357" s="109"/>
      <c r="C357" s="109">
        <v>131</v>
      </c>
      <c r="D357" s="115">
        <v>800000000</v>
      </c>
      <c r="E357" s="109"/>
      <c r="F357" s="109">
        <v>131</v>
      </c>
      <c r="G357" s="102" t="s">
        <v>529</v>
      </c>
      <c r="H357" s="125">
        <f t="shared" si="33"/>
        <v>1644933.36</v>
      </c>
      <c r="I357" s="125">
        <f>1644933.36</f>
        <v>1644933.36</v>
      </c>
      <c r="J357" s="125"/>
      <c r="K357" s="112"/>
      <c r="L357" s="111"/>
      <c r="M357" s="125"/>
      <c r="N357" s="125"/>
    </row>
    <row r="358" spans="1:14" s="107" customFormat="1" ht="26.25" customHeight="1">
      <c r="A358" s="108" t="s">
        <v>346</v>
      </c>
      <c r="B358" s="109"/>
      <c r="C358" s="109">
        <v>131</v>
      </c>
      <c r="D358" s="115">
        <v>800000000</v>
      </c>
      <c r="E358" s="109"/>
      <c r="F358" s="109">
        <v>131</v>
      </c>
      <c r="G358" s="181" t="s">
        <v>527</v>
      </c>
      <c r="H358" s="125">
        <f t="shared" si="33"/>
        <v>3986028.2</v>
      </c>
      <c r="I358" s="125">
        <f>122248+3863780.2</f>
        <v>3986028.2</v>
      </c>
      <c r="J358" s="125"/>
      <c r="K358" s="112"/>
      <c r="L358" s="111"/>
      <c r="M358" s="125"/>
      <c r="N358" s="125"/>
    </row>
    <row r="359" spans="1:14" s="107" customFormat="1" ht="26.25" customHeight="1">
      <c r="A359" s="108" t="s">
        <v>346</v>
      </c>
      <c r="B359" s="109"/>
      <c r="C359" s="109">
        <v>131</v>
      </c>
      <c r="D359" s="115">
        <v>800000000</v>
      </c>
      <c r="E359" s="109"/>
      <c r="F359" s="109">
        <v>131</v>
      </c>
      <c r="G359" s="102" t="s">
        <v>529</v>
      </c>
      <c r="H359" s="125">
        <f t="shared" si="33"/>
        <v>555423.64</v>
      </c>
      <c r="I359" s="125">
        <f>555423.64</f>
        <v>555423.64</v>
      </c>
      <c r="J359" s="125"/>
      <c r="K359" s="112"/>
      <c r="L359" s="111"/>
      <c r="M359" s="125"/>
      <c r="N359" s="125"/>
    </row>
    <row r="360" spans="1:14" s="107" customFormat="1" ht="12" customHeight="1">
      <c r="A360" s="108" t="s">
        <v>347</v>
      </c>
      <c r="B360" s="109"/>
      <c r="C360" s="109">
        <v>131</v>
      </c>
      <c r="D360" s="115">
        <v>800000000</v>
      </c>
      <c r="E360" s="109"/>
      <c r="F360" s="109">
        <v>131</v>
      </c>
      <c r="G360" s="110"/>
      <c r="H360" s="125">
        <f t="shared" si="33"/>
        <v>0</v>
      </c>
      <c r="I360" s="125">
        <v>0</v>
      </c>
      <c r="J360" s="125"/>
      <c r="K360" s="112"/>
      <c r="L360" s="111"/>
      <c r="M360" s="125"/>
      <c r="N360" s="125"/>
    </row>
    <row r="361" spans="1:14" s="107" customFormat="1" ht="27.75" customHeight="1">
      <c r="A361" s="126" t="s">
        <v>517</v>
      </c>
      <c r="B361" s="109"/>
      <c r="C361" s="109">
        <v>131</v>
      </c>
      <c r="D361" s="115">
        <v>800000000</v>
      </c>
      <c r="E361" s="109"/>
      <c r="F361" s="109">
        <v>131</v>
      </c>
      <c r="G361" s="110"/>
      <c r="H361" s="125">
        <f t="shared" si="33"/>
        <v>0</v>
      </c>
      <c r="I361" s="125">
        <v>0</v>
      </c>
      <c r="J361" s="125"/>
      <c r="K361" s="112"/>
      <c r="L361" s="111"/>
      <c r="M361" s="125"/>
      <c r="N361" s="125"/>
    </row>
    <row r="362" spans="1:14" s="107" customFormat="1" ht="44.25" customHeight="1">
      <c r="A362" s="108" t="s">
        <v>348</v>
      </c>
      <c r="B362" s="109"/>
      <c r="C362" s="109">
        <v>131</v>
      </c>
      <c r="D362" s="115">
        <v>800000000</v>
      </c>
      <c r="E362" s="109"/>
      <c r="F362" s="109">
        <v>131</v>
      </c>
      <c r="G362" s="110"/>
      <c r="H362" s="125">
        <f t="shared" si="33"/>
        <v>0</v>
      </c>
      <c r="I362" s="125">
        <v>0</v>
      </c>
      <c r="J362" s="125"/>
      <c r="K362" s="112"/>
      <c r="L362" s="111"/>
      <c r="M362" s="125"/>
      <c r="N362" s="125"/>
    </row>
    <row r="363" spans="1:14" s="107" customFormat="1" ht="22.5" customHeight="1">
      <c r="A363" s="114" t="s">
        <v>349</v>
      </c>
      <c r="B363" s="115"/>
      <c r="C363" s="115">
        <v>131</v>
      </c>
      <c r="D363" s="115">
        <v>800000000</v>
      </c>
      <c r="E363" s="115"/>
      <c r="F363" s="115">
        <v>131</v>
      </c>
      <c r="G363" s="122"/>
      <c r="H363" s="118">
        <f t="shared" si="33"/>
        <v>0</v>
      </c>
      <c r="I363" s="125">
        <v>0</v>
      </c>
      <c r="J363" s="125"/>
      <c r="K363" s="112"/>
      <c r="L363" s="111"/>
      <c r="M363" s="125"/>
      <c r="N363" s="125"/>
    </row>
    <row r="364" spans="1:14" s="107" customFormat="1" ht="31.5" customHeight="1">
      <c r="A364" s="127" t="s">
        <v>350</v>
      </c>
      <c r="B364" s="115"/>
      <c r="C364" s="115">
        <v>131</v>
      </c>
      <c r="D364" s="115">
        <v>800000000</v>
      </c>
      <c r="E364" s="115"/>
      <c r="F364" s="115">
        <v>131</v>
      </c>
      <c r="G364" s="122"/>
      <c r="H364" s="118">
        <f t="shared" si="33"/>
        <v>0</v>
      </c>
      <c r="I364" s="125">
        <v>0</v>
      </c>
      <c r="J364" s="125"/>
      <c r="K364" s="112"/>
      <c r="L364" s="111"/>
      <c r="M364" s="125"/>
      <c r="N364" s="125"/>
    </row>
    <row r="365" spans="1:14" s="107" customFormat="1" ht="43.5" customHeight="1">
      <c r="A365" s="114" t="s">
        <v>351</v>
      </c>
      <c r="B365" s="115"/>
      <c r="C365" s="115">
        <v>131</v>
      </c>
      <c r="D365" s="115">
        <v>800000000</v>
      </c>
      <c r="E365" s="115"/>
      <c r="F365" s="115">
        <v>131</v>
      </c>
      <c r="G365" s="122"/>
      <c r="H365" s="118">
        <f t="shared" si="33"/>
        <v>0</v>
      </c>
      <c r="I365" s="125">
        <v>0</v>
      </c>
      <c r="J365" s="125"/>
      <c r="K365" s="112"/>
      <c r="L365" s="111"/>
      <c r="M365" s="125"/>
      <c r="N365" s="125"/>
    </row>
    <row r="366" spans="1:14" s="107" customFormat="1" ht="33" customHeight="1">
      <c r="A366" s="114" t="s">
        <v>352</v>
      </c>
      <c r="B366" s="115"/>
      <c r="C366" s="115">
        <v>131</v>
      </c>
      <c r="D366" s="115">
        <v>800000000</v>
      </c>
      <c r="E366" s="115"/>
      <c r="F366" s="115">
        <v>131</v>
      </c>
      <c r="G366" s="122"/>
      <c r="H366" s="118">
        <f t="shared" si="33"/>
        <v>0</v>
      </c>
      <c r="I366" s="125">
        <v>0</v>
      </c>
      <c r="J366" s="125"/>
      <c r="K366" s="112"/>
      <c r="L366" s="111"/>
      <c r="M366" s="125"/>
      <c r="N366" s="125"/>
    </row>
    <row r="367" spans="1:14" s="107" customFormat="1" ht="33.75" customHeight="1">
      <c r="A367" s="114" t="s">
        <v>353</v>
      </c>
      <c r="B367" s="115"/>
      <c r="C367" s="115">
        <v>131</v>
      </c>
      <c r="D367" s="115">
        <v>800000000</v>
      </c>
      <c r="E367" s="115"/>
      <c r="F367" s="115">
        <v>131</v>
      </c>
      <c r="G367" s="122"/>
      <c r="H367" s="118">
        <f t="shared" si="33"/>
        <v>0</v>
      </c>
      <c r="I367" s="125">
        <v>0</v>
      </c>
      <c r="J367" s="125"/>
      <c r="K367" s="112"/>
      <c r="L367" s="111"/>
      <c r="M367" s="125"/>
      <c r="N367" s="125"/>
    </row>
    <row r="368" spans="1:14" s="107" customFormat="1" ht="25.5">
      <c r="A368" s="114" t="s">
        <v>51</v>
      </c>
      <c r="B368" s="115"/>
      <c r="C368" s="115">
        <v>131</v>
      </c>
      <c r="D368" s="115">
        <v>800000000</v>
      </c>
      <c r="E368" s="115"/>
      <c r="F368" s="115">
        <v>131</v>
      </c>
      <c r="G368" s="102" t="s">
        <v>529</v>
      </c>
      <c r="H368" s="118">
        <f t="shared" si="33"/>
        <v>805176</v>
      </c>
      <c r="I368" s="125">
        <v>805176</v>
      </c>
      <c r="J368" s="125"/>
      <c r="K368" s="112"/>
      <c r="L368" s="111"/>
      <c r="M368" s="125"/>
      <c r="N368" s="125"/>
    </row>
    <row r="369" spans="1:14" s="107" customFormat="1" ht="12.75">
      <c r="A369" s="114" t="s">
        <v>52</v>
      </c>
      <c r="B369" s="115"/>
      <c r="C369" s="115">
        <v>131</v>
      </c>
      <c r="D369" s="115">
        <v>800000000</v>
      </c>
      <c r="E369" s="115"/>
      <c r="F369" s="115">
        <v>131</v>
      </c>
      <c r="G369" s="102" t="s">
        <v>529</v>
      </c>
      <c r="H369" s="118">
        <f t="shared" si="33"/>
        <v>2959713</v>
      </c>
      <c r="I369" s="125">
        <v>2959713</v>
      </c>
      <c r="J369" s="125"/>
      <c r="K369" s="112"/>
      <c r="L369" s="111"/>
      <c r="M369" s="125"/>
      <c r="N369" s="125"/>
    </row>
    <row r="370" spans="1:14" s="128" customFormat="1" ht="12.75">
      <c r="A370" s="114" t="s">
        <v>46</v>
      </c>
      <c r="B370" s="115"/>
      <c r="C370" s="115">
        <v>131</v>
      </c>
      <c r="D370" s="116" t="s">
        <v>523</v>
      </c>
      <c r="E370" s="115"/>
      <c r="F370" s="115">
        <v>131</v>
      </c>
      <c r="G370" s="117" t="s">
        <v>363</v>
      </c>
      <c r="H370" s="118">
        <f t="shared" si="33"/>
        <v>5670000</v>
      </c>
      <c r="I370" s="118"/>
      <c r="J370" s="118"/>
      <c r="K370" s="119"/>
      <c r="L370" s="123"/>
      <c r="M370" s="118">
        <v>5670000</v>
      </c>
      <c r="N370" s="118"/>
    </row>
    <row r="371" spans="1:14" s="128" customFormat="1" ht="12.75">
      <c r="A371" s="114" t="s">
        <v>48</v>
      </c>
      <c r="B371" s="115"/>
      <c r="C371" s="115">
        <v>131</v>
      </c>
      <c r="D371" s="116" t="s">
        <v>523</v>
      </c>
      <c r="E371" s="115"/>
      <c r="F371" s="115">
        <v>131</v>
      </c>
      <c r="G371" s="117" t="s">
        <v>363</v>
      </c>
      <c r="H371" s="118">
        <f>I371+J371+K371+L371+M371</f>
        <v>0</v>
      </c>
      <c r="I371" s="118"/>
      <c r="J371" s="118"/>
      <c r="K371" s="119"/>
      <c r="L371" s="123"/>
      <c r="M371" s="118"/>
      <c r="N371" s="118"/>
    </row>
    <row r="372" spans="1:14" s="128" customFormat="1" ht="15.75" customHeight="1">
      <c r="A372" s="114" t="s">
        <v>368</v>
      </c>
      <c r="B372" s="115"/>
      <c r="C372" s="115">
        <v>134</v>
      </c>
      <c r="D372" s="116" t="s">
        <v>523</v>
      </c>
      <c r="E372" s="115"/>
      <c r="F372" s="115">
        <v>134</v>
      </c>
      <c r="G372" s="117" t="s">
        <v>363</v>
      </c>
      <c r="H372" s="118">
        <f>I372+J372+K372+L372+M372</f>
        <v>0</v>
      </c>
      <c r="I372" s="118"/>
      <c r="J372" s="118"/>
      <c r="K372" s="119"/>
      <c r="L372" s="123"/>
      <c r="M372" s="118"/>
      <c r="N372" s="118"/>
    </row>
    <row r="373" spans="1:14" s="128" customFormat="1" ht="15.75" customHeight="1">
      <c r="A373" s="114" t="s">
        <v>47</v>
      </c>
      <c r="B373" s="115"/>
      <c r="C373" s="115">
        <v>135</v>
      </c>
      <c r="D373" s="116" t="s">
        <v>523</v>
      </c>
      <c r="E373" s="115"/>
      <c r="F373" s="115">
        <v>135</v>
      </c>
      <c r="G373" s="117" t="s">
        <v>363</v>
      </c>
      <c r="H373" s="118">
        <f>I373+J373+K373+L373+M373</f>
        <v>365000</v>
      </c>
      <c r="I373" s="118"/>
      <c r="J373" s="118"/>
      <c r="K373" s="119"/>
      <c r="L373" s="123"/>
      <c r="M373" s="118">
        <v>365000</v>
      </c>
      <c r="N373" s="118"/>
    </row>
    <row r="374" spans="1:14" s="134" customFormat="1" ht="21.75" customHeight="1">
      <c r="A374" s="129" t="s">
        <v>432</v>
      </c>
      <c r="B374" s="130">
        <v>130</v>
      </c>
      <c r="C374" s="130">
        <v>140</v>
      </c>
      <c r="D374" s="116" t="s">
        <v>523</v>
      </c>
      <c r="E374" s="130"/>
      <c r="F374" s="130">
        <v>140</v>
      </c>
      <c r="G374" s="131" t="s">
        <v>363</v>
      </c>
      <c r="H374" s="132">
        <f>M374</f>
        <v>0</v>
      </c>
      <c r="I374" s="130" t="s">
        <v>74</v>
      </c>
      <c r="J374" s="130" t="s">
        <v>74</v>
      </c>
      <c r="K374" s="130" t="s">
        <v>74</v>
      </c>
      <c r="L374" s="130" t="s">
        <v>74</v>
      </c>
      <c r="M374" s="133">
        <f>M376+M377+M378+M379+M380</f>
        <v>0</v>
      </c>
      <c r="N374" s="130" t="s">
        <v>74</v>
      </c>
    </row>
    <row r="375" spans="1:14" s="128" customFormat="1" ht="12.75">
      <c r="A375" s="114" t="s">
        <v>364</v>
      </c>
      <c r="B375" s="115"/>
      <c r="C375" s="115"/>
      <c r="D375" s="116"/>
      <c r="E375" s="115"/>
      <c r="F375" s="115"/>
      <c r="G375" s="122"/>
      <c r="H375" s="118"/>
      <c r="I375" s="122"/>
      <c r="J375" s="115"/>
      <c r="K375" s="119"/>
      <c r="L375" s="123"/>
      <c r="M375" s="118"/>
      <c r="N375" s="123"/>
    </row>
    <row r="376" spans="1:14" s="128" customFormat="1" ht="51">
      <c r="A376" s="114" t="s">
        <v>369</v>
      </c>
      <c r="B376" s="115"/>
      <c r="C376" s="115">
        <v>141</v>
      </c>
      <c r="D376" s="116" t="s">
        <v>523</v>
      </c>
      <c r="E376" s="115"/>
      <c r="F376" s="115">
        <v>141</v>
      </c>
      <c r="G376" s="117" t="s">
        <v>363</v>
      </c>
      <c r="H376" s="118">
        <f>I376+J376+K376+L376+M376</f>
        <v>0</v>
      </c>
      <c r="I376" s="122"/>
      <c r="J376" s="115"/>
      <c r="K376" s="119"/>
      <c r="L376" s="123"/>
      <c r="M376" s="118"/>
      <c r="N376" s="123"/>
    </row>
    <row r="377" spans="1:14" s="128" customFormat="1" ht="25.5">
      <c r="A377" s="114" t="s">
        <v>370</v>
      </c>
      <c r="B377" s="115"/>
      <c r="C377" s="115">
        <v>142</v>
      </c>
      <c r="D377" s="116" t="s">
        <v>523</v>
      </c>
      <c r="E377" s="115"/>
      <c r="F377" s="115">
        <v>142</v>
      </c>
      <c r="G377" s="117" t="s">
        <v>363</v>
      </c>
      <c r="H377" s="118">
        <f>I377+J377+K377+L377+M377</f>
        <v>0</v>
      </c>
      <c r="I377" s="122"/>
      <c r="J377" s="115"/>
      <c r="K377" s="119"/>
      <c r="L377" s="123"/>
      <c r="M377" s="118"/>
      <c r="N377" s="123"/>
    </row>
    <row r="378" spans="1:14" s="128" customFormat="1" ht="15" customHeight="1">
      <c r="A378" s="114" t="s">
        <v>371</v>
      </c>
      <c r="B378" s="115"/>
      <c r="C378" s="115">
        <v>143</v>
      </c>
      <c r="D378" s="116" t="s">
        <v>523</v>
      </c>
      <c r="E378" s="115"/>
      <c r="F378" s="115">
        <v>143</v>
      </c>
      <c r="G378" s="117" t="s">
        <v>363</v>
      </c>
      <c r="H378" s="118">
        <f>I378+J378+K378+L378+M378</f>
        <v>0</v>
      </c>
      <c r="I378" s="122"/>
      <c r="J378" s="115"/>
      <c r="K378" s="119"/>
      <c r="L378" s="123"/>
      <c r="M378" s="118"/>
      <c r="N378" s="123"/>
    </row>
    <row r="379" spans="1:14" s="128" customFormat="1" ht="15" customHeight="1">
      <c r="A379" s="114" t="s">
        <v>372</v>
      </c>
      <c r="B379" s="115"/>
      <c r="C379" s="115">
        <v>144</v>
      </c>
      <c r="D379" s="116" t="s">
        <v>523</v>
      </c>
      <c r="E379" s="115"/>
      <c r="F379" s="115">
        <v>144</v>
      </c>
      <c r="G379" s="117" t="s">
        <v>363</v>
      </c>
      <c r="H379" s="118">
        <f>I379+J379+K379+L379+M379</f>
        <v>0</v>
      </c>
      <c r="I379" s="122"/>
      <c r="J379" s="115"/>
      <c r="K379" s="119"/>
      <c r="L379" s="123"/>
      <c r="M379" s="118"/>
      <c r="N379" s="123"/>
    </row>
    <row r="380" spans="1:14" s="128" customFormat="1" ht="23.25" customHeight="1">
      <c r="A380" s="114" t="s">
        <v>373</v>
      </c>
      <c r="B380" s="115"/>
      <c r="C380" s="115">
        <v>145</v>
      </c>
      <c r="D380" s="116" t="s">
        <v>523</v>
      </c>
      <c r="E380" s="115"/>
      <c r="F380" s="115">
        <v>145</v>
      </c>
      <c r="G380" s="117" t="s">
        <v>363</v>
      </c>
      <c r="H380" s="118">
        <f>I380+J380+K380+L380+M380</f>
        <v>0</v>
      </c>
      <c r="I380" s="122"/>
      <c r="J380" s="115"/>
      <c r="K380" s="119"/>
      <c r="L380" s="123"/>
      <c r="M380" s="118"/>
      <c r="N380" s="123"/>
    </row>
    <row r="381" spans="1:14" s="107" customFormat="1" ht="50.25" customHeight="1">
      <c r="A381" s="114" t="s">
        <v>49</v>
      </c>
      <c r="B381" s="115">
        <v>140</v>
      </c>
      <c r="C381" s="115"/>
      <c r="D381" s="116" t="s">
        <v>523</v>
      </c>
      <c r="E381" s="115"/>
      <c r="F381" s="115"/>
      <c r="G381" s="122"/>
      <c r="H381" s="118">
        <f>M381</f>
        <v>0</v>
      </c>
      <c r="I381" s="109" t="s">
        <v>74</v>
      </c>
      <c r="J381" s="109" t="s">
        <v>74</v>
      </c>
      <c r="K381" s="109" t="s">
        <v>74</v>
      </c>
      <c r="L381" s="109" t="s">
        <v>74</v>
      </c>
      <c r="M381" s="109"/>
      <c r="N381" s="109" t="s">
        <v>74</v>
      </c>
    </row>
    <row r="382" spans="1:14" s="107" customFormat="1" ht="31.5" customHeight="1">
      <c r="A382" s="114" t="s">
        <v>167</v>
      </c>
      <c r="B382" s="115">
        <v>150</v>
      </c>
      <c r="C382" s="115">
        <v>150</v>
      </c>
      <c r="D382" s="115">
        <v>901000000</v>
      </c>
      <c r="E382" s="115"/>
      <c r="F382" s="115">
        <v>150</v>
      </c>
      <c r="G382" s="122"/>
      <c r="H382" s="118">
        <f>J382+K382</f>
        <v>0</v>
      </c>
      <c r="I382" s="109" t="s">
        <v>74</v>
      </c>
      <c r="J382" s="135">
        <f>SUM(J383:J388)</f>
        <v>0</v>
      </c>
      <c r="K382" s="109">
        <f>K383</f>
        <v>0</v>
      </c>
      <c r="L382" s="109" t="s">
        <v>74</v>
      </c>
      <c r="M382" s="109" t="s">
        <v>74</v>
      </c>
      <c r="N382" s="109" t="s">
        <v>74</v>
      </c>
    </row>
    <row r="383" spans="1:14" s="107" customFormat="1" ht="31.5" customHeight="1">
      <c r="A383" s="114" t="s">
        <v>167</v>
      </c>
      <c r="B383" s="115">
        <v>150</v>
      </c>
      <c r="C383" s="115">
        <v>152</v>
      </c>
      <c r="D383" s="115">
        <v>901480000</v>
      </c>
      <c r="E383" s="115"/>
      <c r="F383" s="115">
        <v>152</v>
      </c>
      <c r="G383" s="122" t="s">
        <v>528</v>
      </c>
      <c r="H383" s="118">
        <f>J383+K383</f>
        <v>0</v>
      </c>
      <c r="I383" s="109"/>
      <c r="J383" s="125">
        <v>0</v>
      </c>
      <c r="K383" s="112"/>
      <c r="L383" s="109" t="s">
        <v>74</v>
      </c>
      <c r="M383" s="109" t="s">
        <v>74</v>
      </c>
      <c r="N383" s="109" t="s">
        <v>74</v>
      </c>
    </row>
    <row r="384" spans="1:14" s="107" customFormat="1" ht="31.5" customHeight="1">
      <c r="A384" s="114" t="s">
        <v>167</v>
      </c>
      <c r="B384" s="115">
        <v>150</v>
      </c>
      <c r="C384" s="115">
        <v>152</v>
      </c>
      <c r="D384" s="115">
        <v>901160000</v>
      </c>
      <c r="E384" s="115"/>
      <c r="F384" s="115">
        <v>152</v>
      </c>
      <c r="G384" s="122" t="s">
        <v>528</v>
      </c>
      <c r="H384" s="118">
        <f aca="true" t="shared" si="34" ref="H384:H389">J384+K384</f>
        <v>0</v>
      </c>
      <c r="I384" s="109"/>
      <c r="J384" s="125">
        <v>0</v>
      </c>
      <c r="K384" s="112"/>
      <c r="L384" s="109" t="s">
        <v>74</v>
      </c>
      <c r="M384" s="109" t="s">
        <v>74</v>
      </c>
      <c r="N384" s="109" t="s">
        <v>74</v>
      </c>
    </row>
    <row r="385" spans="1:14" s="107" customFormat="1" ht="31.5" customHeight="1">
      <c r="A385" s="114" t="s">
        <v>167</v>
      </c>
      <c r="B385" s="115">
        <v>150</v>
      </c>
      <c r="C385" s="115">
        <v>152</v>
      </c>
      <c r="D385" s="115">
        <v>901830000</v>
      </c>
      <c r="E385" s="115"/>
      <c r="F385" s="115">
        <v>152</v>
      </c>
      <c r="G385" s="122" t="s">
        <v>528</v>
      </c>
      <c r="H385" s="118">
        <f t="shared" si="34"/>
        <v>0</v>
      </c>
      <c r="I385" s="109"/>
      <c r="J385" s="125">
        <v>0</v>
      </c>
      <c r="K385" s="112"/>
      <c r="L385" s="109" t="s">
        <v>74</v>
      </c>
      <c r="M385" s="109" t="s">
        <v>74</v>
      </c>
      <c r="N385" s="109" t="s">
        <v>74</v>
      </c>
    </row>
    <row r="386" spans="1:14" s="107" customFormat="1" ht="31.5" customHeight="1">
      <c r="A386" s="114" t="s">
        <v>167</v>
      </c>
      <c r="B386" s="115">
        <v>150</v>
      </c>
      <c r="C386" s="115">
        <v>152</v>
      </c>
      <c r="D386" s="115">
        <v>901210000</v>
      </c>
      <c r="E386" s="115"/>
      <c r="F386" s="115">
        <v>152</v>
      </c>
      <c r="G386" s="117" t="s">
        <v>530</v>
      </c>
      <c r="H386" s="118">
        <f t="shared" si="34"/>
        <v>0</v>
      </c>
      <c r="I386" s="109"/>
      <c r="J386" s="125">
        <v>0</v>
      </c>
      <c r="K386" s="112"/>
      <c r="L386" s="109" t="s">
        <v>74</v>
      </c>
      <c r="M386" s="109" t="s">
        <v>74</v>
      </c>
      <c r="N386" s="109" t="s">
        <v>74</v>
      </c>
    </row>
    <row r="387" spans="1:14" s="107" customFormat="1" ht="31.5" customHeight="1">
      <c r="A387" s="114" t="s">
        <v>167</v>
      </c>
      <c r="B387" s="115">
        <v>150</v>
      </c>
      <c r="C387" s="115">
        <v>152</v>
      </c>
      <c r="D387" s="115">
        <v>901150000</v>
      </c>
      <c r="E387" s="115"/>
      <c r="F387" s="115">
        <v>152</v>
      </c>
      <c r="G387" s="122" t="s">
        <v>528</v>
      </c>
      <c r="H387" s="118">
        <f t="shared" si="34"/>
        <v>0</v>
      </c>
      <c r="I387" s="109"/>
      <c r="J387" s="125">
        <v>0</v>
      </c>
      <c r="K387" s="112"/>
      <c r="L387" s="109" t="s">
        <v>74</v>
      </c>
      <c r="M387" s="109" t="s">
        <v>74</v>
      </c>
      <c r="N387" s="109" t="s">
        <v>74</v>
      </c>
    </row>
    <row r="388" spans="1:14" s="107" customFormat="1" ht="31.5" customHeight="1">
      <c r="A388" s="114" t="s">
        <v>167</v>
      </c>
      <c r="B388" s="115">
        <v>150</v>
      </c>
      <c r="C388" s="115">
        <v>152</v>
      </c>
      <c r="D388" s="115">
        <v>901140000</v>
      </c>
      <c r="E388" s="115"/>
      <c r="F388" s="115">
        <v>152</v>
      </c>
      <c r="G388" s="122" t="s">
        <v>528</v>
      </c>
      <c r="H388" s="118">
        <f t="shared" si="34"/>
        <v>0</v>
      </c>
      <c r="I388" s="109"/>
      <c r="J388" s="125">
        <v>0</v>
      </c>
      <c r="K388" s="112"/>
      <c r="L388" s="109" t="s">
        <v>74</v>
      </c>
      <c r="M388" s="109" t="s">
        <v>74</v>
      </c>
      <c r="N388" s="109" t="s">
        <v>74</v>
      </c>
    </row>
    <row r="389" spans="1:14" s="107" customFormat="1" ht="31.5" customHeight="1">
      <c r="A389" s="114" t="s">
        <v>167</v>
      </c>
      <c r="B389" s="115">
        <v>150</v>
      </c>
      <c r="C389" s="115">
        <v>152</v>
      </c>
      <c r="D389" s="115">
        <v>901750000</v>
      </c>
      <c r="E389" s="115"/>
      <c r="F389" s="115">
        <v>152</v>
      </c>
      <c r="G389" s="122" t="s">
        <v>536</v>
      </c>
      <c r="H389" s="118">
        <f t="shared" si="34"/>
        <v>0</v>
      </c>
      <c r="I389" s="109"/>
      <c r="J389" s="125">
        <v>0</v>
      </c>
      <c r="K389" s="112"/>
      <c r="L389" s="109"/>
      <c r="M389" s="110"/>
      <c r="N389" s="110"/>
    </row>
    <row r="390" spans="1:14" s="128" customFormat="1" ht="18" customHeight="1">
      <c r="A390" s="114" t="s">
        <v>210</v>
      </c>
      <c r="B390" s="115">
        <v>160</v>
      </c>
      <c r="C390" s="115">
        <v>180</v>
      </c>
      <c r="D390" s="116" t="s">
        <v>523</v>
      </c>
      <c r="E390" s="115"/>
      <c r="F390" s="115">
        <v>180</v>
      </c>
      <c r="G390" s="117" t="s">
        <v>363</v>
      </c>
      <c r="H390" s="118">
        <f aca="true" t="shared" si="35" ref="H390:H396">M390</f>
        <v>0</v>
      </c>
      <c r="I390" s="115" t="s">
        <v>74</v>
      </c>
      <c r="J390" s="115" t="s">
        <v>74</v>
      </c>
      <c r="K390" s="115" t="s">
        <v>74</v>
      </c>
      <c r="L390" s="115" t="s">
        <v>74</v>
      </c>
      <c r="M390" s="118">
        <f>M391+M392</f>
        <v>0</v>
      </c>
      <c r="N390" s="118">
        <f>N391+N392</f>
        <v>0</v>
      </c>
    </row>
    <row r="391" spans="1:14" s="128" customFormat="1" ht="15" customHeight="1">
      <c r="A391" s="136" t="s">
        <v>133</v>
      </c>
      <c r="B391" s="115"/>
      <c r="C391" s="115">
        <v>189</v>
      </c>
      <c r="D391" s="116" t="s">
        <v>523</v>
      </c>
      <c r="E391" s="115"/>
      <c r="F391" s="115">
        <v>189</v>
      </c>
      <c r="G391" s="117" t="s">
        <v>363</v>
      </c>
      <c r="H391" s="118">
        <f t="shared" si="35"/>
        <v>0</v>
      </c>
      <c r="I391" s="118"/>
      <c r="J391" s="118"/>
      <c r="K391" s="119"/>
      <c r="L391" s="123"/>
      <c r="M391" s="118"/>
      <c r="N391" s="118"/>
    </row>
    <row r="392" spans="1:14" s="128" customFormat="1" ht="15" customHeight="1">
      <c r="A392" s="136" t="s">
        <v>134</v>
      </c>
      <c r="B392" s="115"/>
      <c r="C392" s="115">
        <v>189</v>
      </c>
      <c r="D392" s="116" t="s">
        <v>523</v>
      </c>
      <c r="E392" s="115"/>
      <c r="F392" s="115">
        <v>189</v>
      </c>
      <c r="G392" s="117" t="s">
        <v>363</v>
      </c>
      <c r="H392" s="118">
        <f t="shared" si="35"/>
        <v>0</v>
      </c>
      <c r="I392" s="118"/>
      <c r="J392" s="118"/>
      <c r="K392" s="119"/>
      <c r="L392" s="123"/>
      <c r="M392" s="118"/>
      <c r="N392" s="118"/>
    </row>
    <row r="393" spans="1:14" s="128" customFormat="1" ht="23.25" customHeight="1">
      <c r="A393" s="114" t="s">
        <v>211</v>
      </c>
      <c r="B393" s="115">
        <v>180</v>
      </c>
      <c r="C393" s="115">
        <v>400</v>
      </c>
      <c r="D393" s="116" t="s">
        <v>523</v>
      </c>
      <c r="E393" s="115" t="s">
        <v>74</v>
      </c>
      <c r="F393" s="115">
        <v>400</v>
      </c>
      <c r="G393" s="117" t="s">
        <v>363</v>
      </c>
      <c r="H393" s="118">
        <f t="shared" si="35"/>
        <v>0</v>
      </c>
      <c r="I393" s="115" t="s">
        <v>74</v>
      </c>
      <c r="J393" s="115" t="s">
        <v>74</v>
      </c>
      <c r="K393" s="115" t="s">
        <v>74</v>
      </c>
      <c r="L393" s="115" t="s">
        <v>74</v>
      </c>
      <c r="M393" s="118">
        <f>M394+M395+M396+M398+M397</f>
        <v>0</v>
      </c>
      <c r="N393" s="115" t="s">
        <v>74</v>
      </c>
    </row>
    <row r="394" spans="1:14" s="128" customFormat="1" ht="23.25" customHeight="1">
      <c r="A394" s="137" t="s">
        <v>374</v>
      </c>
      <c r="B394" s="115"/>
      <c r="C394" s="115">
        <v>410</v>
      </c>
      <c r="D394" s="116" t="s">
        <v>523</v>
      </c>
      <c r="E394" s="115"/>
      <c r="F394" s="115">
        <v>410</v>
      </c>
      <c r="G394" s="117" t="s">
        <v>363</v>
      </c>
      <c r="H394" s="118">
        <f t="shared" si="35"/>
        <v>0</v>
      </c>
      <c r="I394" s="118"/>
      <c r="J394" s="118"/>
      <c r="K394" s="119"/>
      <c r="L394" s="123"/>
      <c r="M394" s="118"/>
      <c r="N394" s="118"/>
    </row>
    <row r="395" spans="1:14" s="128" customFormat="1" ht="23.25" customHeight="1">
      <c r="A395" s="137" t="s">
        <v>375</v>
      </c>
      <c r="B395" s="115"/>
      <c r="C395" s="115">
        <v>420</v>
      </c>
      <c r="D395" s="116" t="s">
        <v>523</v>
      </c>
      <c r="E395" s="115"/>
      <c r="F395" s="115">
        <v>420</v>
      </c>
      <c r="G395" s="117" t="s">
        <v>363</v>
      </c>
      <c r="H395" s="118">
        <f t="shared" si="35"/>
        <v>0</v>
      </c>
      <c r="I395" s="118"/>
      <c r="J395" s="118"/>
      <c r="K395" s="119"/>
      <c r="L395" s="123"/>
      <c r="M395" s="118"/>
      <c r="N395" s="118"/>
    </row>
    <row r="396" spans="1:14" s="128" customFormat="1" ht="23.25" customHeight="1">
      <c r="A396" s="137" t="s">
        <v>376</v>
      </c>
      <c r="B396" s="115"/>
      <c r="C396" s="115">
        <v>430</v>
      </c>
      <c r="D396" s="116" t="s">
        <v>523</v>
      </c>
      <c r="E396" s="115"/>
      <c r="F396" s="115">
        <v>430</v>
      </c>
      <c r="G396" s="117" t="s">
        <v>363</v>
      </c>
      <c r="H396" s="118">
        <f t="shared" si="35"/>
        <v>0</v>
      </c>
      <c r="I396" s="118"/>
      <c r="J396" s="118"/>
      <c r="K396" s="119"/>
      <c r="L396" s="123"/>
      <c r="M396" s="118"/>
      <c r="N396" s="118"/>
    </row>
    <row r="397" spans="1:14" s="121" customFormat="1" ht="23.25" customHeight="1">
      <c r="A397" s="137" t="s">
        <v>425</v>
      </c>
      <c r="B397" s="115"/>
      <c r="C397" s="115">
        <v>440</v>
      </c>
      <c r="D397" s="116" t="s">
        <v>523</v>
      </c>
      <c r="E397" s="115"/>
      <c r="F397" s="115">
        <v>440</v>
      </c>
      <c r="G397" s="117" t="s">
        <v>363</v>
      </c>
      <c r="H397" s="118">
        <f>M397</f>
        <v>0</v>
      </c>
      <c r="I397" s="118"/>
      <c r="J397" s="118"/>
      <c r="K397" s="119"/>
      <c r="L397" s="123"/>
      <c r="M397" s="118"/>
      <c r="N397" s="118"/>
    </row>
    <row r="398" spans="1:14" s="128" customFormat="1" ht="23.25" customHeight="1">
      <c r="A398" s="137" t="s">
        <v>377</v>
      </c>
      <c r="B398" s="115"/>
      <c r="C398" s="115">
        <v>450</v>
      </c>
      <c r="D398" s="116" t="s">
        <v>523</v>
      </c>
      <c r="E398" s="115"/>
      <c r="F398" s="115">
        <v>450</v>
      </c>
      <c r="G398" s="117" t="s">
        <v>363</v>
      </c>
      <c r="H398" s="118">
        <f>M398</f>
        <v>0</v>
      </c>
      <c r="I398" s="118"/>
      <c r="J398" s="118"/>
      <c r="K398" s="119"/>
      <c r="L398" s="123"/>
      <c r="M398" s="118"/>
      <c r="N398" s="118"/>
    </row>
    <row r="399" spans="1:14" s="8" customFormat="1" ht="11.25" customHeight="1">
      <c r="A399" s="138" t="s">
        <v>44</v>
      </c>
      <c r="B399" s="139">
        <v>200</v>
      </c>
      <c r="C399" s="139"/>
      <c r="D399" s="139"/>
      <c r="E399" s="139"/>
      <c r="F399" s="140"/>
      <c r="G399" s="140"/>
      <c r="H399" s="141">
        <f aca="true" t="shared" si="36" ref="H399:N399">H401+H417+H424+H438+H439+H443</f>
        <v>38575022.099999994</v>
      </c>
      <c r="I399" s="141">
        <f t="shared" si="36"/>
        <v>31789495.74</v>
      </c>
      <c r="J399" s="141">
        <f t="shared" si="36"/>
        <v>0</v>
      </c>
      <c r="K399" s="141">
        <f t="shared" si="36"/>
        <v>0</v>
      </c>
      <c r="L399" s="141">
        <f t="shared" si="36"/>
        <v>0</v>
      </c>
      <c r="M399" s="141">
        <f t="shared" si="36"/>
        <v>6785526.359999999</v>
      </c>
      <c r="N399" s="141">
        <f t="shared" si="36"/>
        <v>0</v>
      </c>
    </row>
    <row r="400" spans="1:14" s="8" customFormat="1" ht="13.5" customHeight="1">
      <c r="A400" s="142" t="s">
        <v>4</v>
      </c>
      <c r="B400" s="109"/>
      <c r="C400" s="109"/>
      <c r="D400" s="109"/>
      <c r="E400" s="109"/>
      <c r="F400" s="109"/>
      <c r="G400" s="110"/>
      <c r="H400" s="125"/>
      <c r="I400" s="125"/>
      <c r="J400" s="125"/>
      <c r="K400" s="113"/>
      <c r="L400" s="113"/>
      <c r="M400" s="113"/>
      <c r="N400" s="113"/>
    </row>
    <row r="401" spans="1:14" s="8" customFormat="1" ht="13.5" customHeight="1">
      <c r="A401" s="142" t="s">
        <v>296</v>
      </c>
      <c r="B401" s="109">
        <v>210</v>
      </c>
      <c r="C401" s="109"/>
      <c r="D401" s="109"/>
      <c r="E401" s="109"/>
      <c r="F401" s="109"/>
      <c r="G401" s="110"/>
      <c r="H401" s="125">
        <f>H403</f>
        <v>26108364.359999996</v>
      </c>
      <c r="I401" s="125">
        <f aca="true" t="shared" si="37" ref="I401:N401">I403</f>
        <v>23336871.099999998</v>
      </c>
      <c r="J401" s="125">
        <f t="shared" si="37"/>
        <v>0</v>
      </c>
      <c r="K401" s="125">
        <f t="shared" si="37"/>
        <v>0</v>
      </c>
      <c r="L401" s="125">
        <f t="shared" si="37"/>
        <v>0</v>
      </c>
      <c r="M401" s="125">
        <f t="shared" si="37"/>
        <v>2771493.26</v>
      </c>
      <c r="N401" s="125">
        <f t="shared" si="37"/>
        <v>0</v>
      </c>
    </row>
    <row r="402" spans="1:14" s="8" customFormat="1" ht="13.5" customHeight="1">
      <c r="A402" s="143" t="s">
        <v>3</v>
      </c>
      <c r="B402" s="115"/>
      <c r="C402" s="115"/>
      <c r="D402" s="115"/>
      <c r="E402" s="115"/>
      <c r="F402" s="115"/>
      <c r="G402" s="122"/>
      <c r="H402" s="118"/>
      <c r="I402" s="125"/>
      <c r="J402" s="125"/>
      <c r="K402" s="113"/>
      <c r="L402" s="113"/>
      <c r="M402" s="113"/>
      <c r="N402" s="113"/>
    </row>
    <row r="403" spans="1:14" s="8" customFormat="1" ht="25.5" customHeight="1">
      <c r="A403" s="143" t="s">
        <v>297</v>
      </c>
      <c r="B403" s="115">
        <v>211</v>
      </c>
      <c r="C403" s="115"/>
      <c r="D403" s="115"/>
      <c r="E403" s="115"/>
      <c r="F403" s="115"/>
      <c r="G403" s="122"/>
      <c r="H403" s="118">
        <f>SUM(H405:H416)</f>
        <v>26108364.359999996</v>
      </c>
      <c r="I403" s="125">
        <f>I405+I410+I411+I412</f>
        <v>23336871.099999998</v>
      </c>
      <c r="J403" s="125">
        <f>SUM(J405:J415)</f>
        <v>0</v>
      </c>
      <c r="K403" s="125">
        <f>K405+K410+K411+K412</f>
        <v>0</v>
      </c>
      <c r="L403" s="125">
        <f>L405+L410+L411+L412</f>
        <v>0</v>
      </c>
      <c r="M403" s="125">
        <f>SUM(M405:M416)</f>
        <v>2771493.26</v>
      </c>
      <c r="N403" s="125">
        <f>N405+N410+N411+N412</f>
        <v>0</v>
      </c>
    </row>
    <row r="404" spans="1:14" s="8" customFormat="1" ht="16.5" customHeight="1">
      <c r="A404" s="143" t="s">
        <v>4</v>
      </c>
      <c r="B404" s="115"/>
      <c r="C404" s="115"/>
      <c r="D404" s="115"/>
      <c r="E404" s="115"/>
      <c r="F404" s="115"/>
      <c r="G404" s="122"/>
      <c r="H404" s="118"/>
      <c r="I404" s="125"/>
      <c r="J404" s="125"/>
      <c r="K404" s="113"/>
      <c r="L404" s="113"/>
      <c r="M404" s="113"/>
      <c r="N404" s="113"/>
    </row>
    <row r="405" spans="1:14" s="8" customFormat="1" ht="16.5" customHeight="1">
      <c r="A405" s="143" t="s">
        <v>298</v>
      </c>
      <c r="B405" s="115"/>
      <c r="C405" s="115">
        <v>211</v>
      </c>
      <c r="D405" s="115">
        <v>800000000</v>
      </c>
      <c r="E405" s="115">
        <v>111</v>
      </c>
      <c r="F405" s="115">
        <v>211</v>
      </c>
      <c r="G405" s="102" t="s">
        <v>525</v>
      </c>
      <c r="H405" s="118">
        <f>I405+J405+K405+L405+M405+N405</f>
        <v>17923864.13</v>
      </c>
      <c r="I405" s="125">
        <v>17923864.13</v>
      </c>
      <c r="J405" s="125"/>
      <c r="K405" s="113"/>
      <c r="L405" s="113"/>
      <c r="M405" s="113"/>
      <c r="N405" s="113"/>
    </row>
    <row r="406" spans="1:14" s="8" customFormat="1" ht="16.5" customHeight="1">
      <c r="A406" s="143" t="s">
        <v>298</v>
      </c>
      <c r="B406" s="115"/>
      <c r="C406" s="115">
        <v>211</v>
      </c>
      <c r="D406" s="115">
        <v>901480000</v>
      </c>
      <c r="E406" s="115">
        <v>111</v>
      </c>
      <c r="F406" s="115">
        <v>211</v>
      </c>
      <c r="G406" s="102" t="s">
        <v>525</v>
      </c>
      <c r="H406" s="118">
        <f>SUM(I406:J406)</f>
        <v>0</v>
      </c>
      <c r="I406" s="125"/>
      <c r="J406" s="125">
        <v>0</v>
      </c>
      <c r="K406" s="113"/>
      <c r="L406" s="113"/>
      <c r="M406" s="113"/>
      <c r="N406" s="113"/>
    </row>
    <row r="407" spans="1:14" s="8" customFormat="1" ht="16.5" customHeight="1">
      <c r="A407" s="143" t="s">
        <v>298</v>
      </c>
      <c r="B407" s="115"/>
      <c r="C407" s="115">
        <v>211</v>
      </c>
      <c r="D407" s="115">
        <v>901160000</v>
      </c>
      <c r="E407" s="115">
        <v>111</v>
      </c>
      <c r="F407" s="115">
        <v>211</v>
      </c>
      <c r="G407" s="102" t="s">
        <v>525</v>
      </c>
      <c r="H407" s="118">
        <f>SUM(I407:J407)</f>
        <v>0</v>
      </c>
      <c r="I407" s="125"/>
      <c r="J407" s="125">
        <v>0</v>
      </c>
      <c r="K407" s="113"/>
      <c r="L407" s="113"/>
      <c r="M407" s="113"/>
      <c r="N407" s="113"/>
    </row>
    <row r="408" spans="1:14" s="8" customFormat="1" ht="16.5" customHeight="1">
      <c r="A408" s="143" t="s">
        <v>298</v>
      </c>
      <c r="B408" s="115"/>
      <c r="C408" s="115">
        <v>211</v>
      </c>
      <c r="D408" s="115">
        <v>901830000</v>
      </c>
      <c r="E408" s="115">
        <v>111</v>
      </c>
      <c r="F408" s="115">
        <v>211</v>
      </c>
      <c r="G408" s="102" t="s">
        <v>525</v>
      </c>
      <c r="H408" s="118">
        <f>SUM(I408:J408)</f>
        <v>0</v>
      </c>
      <c r="I408" s="125"/>
      <c r="J408" s="125">
        <v>0</v>
      </c>
      <c r="K408" s="113"/>
      <c r="L408" s="113"/>
      <c r="M408" s="113"/>
      <c r="N408" s="113"/>
    </row>
    <row r="409" spans="1:14" s="8" customFormat="1" ht="16.5" customHeight="1">
      <c r="A409" s="143" t="s">
        <v>298</v>
      </c>
      <c r="B409" s="115"/>
      <c r="C409" s="115">
        <v>211</v>
      </c>
      <c r="D409" s="116" t="s">
        <v>523</v>
      </c>
      <c r="E409" s="115">
        <v>111</v>
      </c>
      <c r="F409" s="115">
        <v>211</v>
      </c>
      <c r="G409" s="102" t="s">
        <v>532</v>
      </c>
      <c r="H409" s="118">
        <f>SUM(I409:M409)</f>
        <v>2128645.86</v>
      </c>
      <c r="I409" s="125"/>
      <c r="J409" s="125"/>
      <c r="K409" s="113"/>
      <c r="L409" s="113"/>
      <c r="M409" s="113">
        <v>2128645.86</v>
      </c>
      <c r="N409" s="113"/>
    </row>
    <row r="410" spans="1:14" s="8" customFormat="1" ht="16.5" customHeight="1">
      <c r="A410" s="143" t="s">
        <v>299</v>
      </c>
      <c r="B410" s="115"/>
      <c r="C410" s="115">
        <v>211</v>
      </c>
      <c r="D410" s="115"/>
      <c r="E410" s="115">
        <v>111</v>
      </c>
      <c r="F410" s="115">
        <v>211</v>
      </c>
      <c r="G410" s="122"/>
      <c r="H410" s="118">
        <f>I410+J410+K410+L410+M410+N410</f>
        <v>0</v>
      </c>
      <c r="I410" s="125"/>
      <c r="J410" s="125"/>
      <c r="K410" s="113"/>
      <c r="L410" s="113"/>
      <c r="M410" s="113"/>
      <c r="N410" s="113"/>
    </row>
    <row r="411" spans="1:14" s="8" customFormat="1" ht="54" customHeight="1">
      <c r="A411" s="143" t="s">
        <v>300</v>
      </c>
      <c r="B411" s="115"/>
      <c r="C411" s="115">
        <v>212</v>
      </c>
      <c r="D411" s="115"/>
      <c r="E411" s="115">
        <v>262</v>
      </c>
      <c r="F411" s="115">
        <v>212</v>
      </c>
      <c r="G411" s="122"/>
      <c r="H411" s="118">
        <f>I411+J411+K411+L411+M411+N411</f>
        <v>0</v>
      </c>
      <c r="I411" s="125"/>
      <c r="J411" s="125">
        <v>0</v>
      </c>
      <c r="K411" s="113"/>
      <c r="L411" s="113"/>
      <c r="M411" s="113"/>
      <c r="N411" s="113"/>
    </row>
    <row r="412" spans="1:14" s="8" customFormat="1" ht="15.75" customHeight="1">
      <c r="A412" s="143" t="s">
        <v>301</v>
      </c>
      <c r="B412" s="115"/>
      <c r="C412" s="115">
        <v>213</v>
      </c>
      <c r="D412" s="115">
        <v>800000000</v>
      </c>
      <c r="E412" s="115">
        <v>119</v>
      </c>
      <c r="F412" s="115">
        <v>213</v>
      </c>
      <c r="G412" s="102" t="s">
        <v>525</v>
      </c>
      <c r="H412" s="118">
        <f>I412+J412+K412+L412+M412+N412</f>
        <v>5413006.97</v>
      </c>
      <c r="I412" s="125">
        <v>5413006.97</v>
      </c>
      <c r="J412" s="125"/>
      <c r="K412" s="113"/>
      <c r="L412" s="113"/>
      <c r="M412" s="113"/>
      <c r="N412" s="113"/>
    </row>
    <row r="413" spans="1:14" s="8" customFormat="1" ht="15.75" customHeight="1">
      <c r="A413" s="143" t="s">
        <v>301</v>
      </c>
      <c r="B413" s="115"/>
      <c r="C413" s="115">
        <v>213</v>
      </c>
      <c r="D413" s="115">
        <v>901480000</v>
      </c>
      <c r="E413" s="115">
        <v>119</v>
      </c>
      <c r="F413" s="115">
        <v>213</v>
      </c>
      <c r="G413" s="102" t="s">
        <v>525</v>
      </c>
      <c r="H413" s="118">
        <f>SUM(I413:J413)</f>
        <v>0</v>
      </c>
      <c r="I413" s="125"/>
      <c r="J413" s="125">
        <v>0</v>
      </c>
      <c r="K413" s="113"/>
      <c r="L413" s="113"/>
      <c r="M413" s="113"/>
      <c r="N413" s="113"/>
    </row>
    <row r="414" spans="1:14" s="8" customFormat="1" ht="15.75" customHeight="1">
      <c r="A414" s="143" t="s">
        <v>301</v>
      </c>
      <c r="B414" s="115"/>
      <c r="C414" s="115">
        <v>213</v>
      </c>
      <c r="D414" s="115">
        <v>901160000</v>
      </c>
      <c r="E414" s="115">
        <v>119</v>
      </c>
      <c r="F414" s="115">
        <v>213</v>
      </c>
      <c r="G414" s="102" t="s">
        <v>525</v>
      </c>
      <c r="H414" s="118">
        <f>SUM(I414:J414)</f>
        <v>0</v>
      </c>
      <c r="I414" s="125"/>
      <c r="J414" s="125">
        <v>0</v>
      </c>
      <c r="K414" s="113"/>
      <c r="L414" s="113"/>
      <c r="M414" s="113"/>
      <c r="N414" s="113"/>
    </row>
    <row r="415" spans="1:14" s="8" customFormat="1" ht="15.75" customHeight="1">
      <c r="A415" s="143" t="s">
        <v>301</v>
      </c>
      <c r="B415" s="115"/>
      <c r="C415" s="115">
        <v>213</v>
      </c>
      <c r="D415" s="115">
        <v>901830000</v>
      </c>
      <c r="E415" s="115">
        <v>119</v>
      </c>
      <c r="F415" s="115">
        <v>213</v>
      </c>
      <c r="G415" s="102" t="s">
        <v>525</v>
      </c>
      <c r="H415" s="118">
        <f>SUM(I415:J415)</f>
        <v>0</v>
      </c>
      <c r="I415" s="125"/>
      <c r="J415" s="125">
        <v>0</v>
      </c>
      <c r="K415" s="113"/>
      <c r="L415" s="113"/>
      <c r="M415" s="113"/>
      <c r="N415" s="113"/>
    </row>
    <row r="416" spans="1:14" s="8" customFormat="1" ht="15.75" customHeight="1">
      <c r="A416" s="143" t="s">
        <v>301</v>
      </c>
      <c r="B416" s="115"/>
      <c r="C416" s="115">
        <v>213</v>
      </c>
      <c r="D416" s="116" t="s">
        <v>523</v>
      </c>
      <c r="E416" s="115">
        <v>119</v>
      </c>
      <c r="F416" s="115">
        <v>213</v>
      </c>
      <c r="G416" s="102" t="s">
        <v>532</v>
      </c>
      <c r="H416" s="118">
        <f>SUM(I416:M416)</f>
        <v>642847.4</v>
      </c>
      <c r="I416" s="125"/>
      <c r="J416" s="125"/>
      <c r="K416" s="113"/>
      <c r="L416" s="113"/>
      <c r="M416" s="113">
        <v>642847.4</v>
      </c>
      <c r="N416" s="113"/>
    </row>
    <row r="417" spans="1:14" s="8" customFormat="1" ht="18.75" customHeight="1">
      <c r="A417" s="143" t="s">
        <v>399</v>
      </c>
      <c r="B417" s="115">
        <v>220</v>
      </c>
      <c r="C417" s="115"/>
      <c r="D417" s="115"/>
      <c r="E417" s="115"/>
      <c r="F417" s="115"/>
      <c r="G417" s="115"/>
      <c r="H417" s="120">
        <f>SUM(I417:M417)</f>
        <v>0</v>
      </c>
      <c r="I417" s="113">
        <f>I419+I420+I421+I422+I423</f>
        <v>0</v>
      </c>
      <c r="J417" s="113">
        <f>SUM(J419:J421)</f>
        <v>0</v>
      </c>
      <c r="K417" s="113">
        <f>K419+K420+K421+K422+K423</f>
        <v>0</v>
      </c>
      <c r="L417" s="113">
        <f>L419+L420+L421+L422+L423</f>
        <v>0</v>
      </c>
      <c r="M417" s="113">
        <f>M419+M420+M421+M422+M423</f>
        <v>0</v>
      </c>
      <c r="N417" s="113">
        <f>N419+N420+N421+N422+N423</f>
        <v>0</v>
      </c>
    </row>
    <row r="418" spans="1:14" s="8" customFormat="1" ht="15.75" customHeight="1">
      <c r="A418" s="143" t="s">
        <v>3</v>
      </c>
      <c r="B418" s="115"/>
      <c r="C418" s="115"/>
      <c r="D418" s="115"/>
      <c r="E418" s="115"/>
      <c r="F418" s="115"/>
      <c r="G418" s="122"/>
      <c r="H418" s="118"/>
      <c r="I418" s="125"/>
      <c r="J418" s="125"/>
      <c r="K418" s="113"/>
      <c r="L418" s="113"/>
      <c r="M418" s="113"/>
      <c r="N418" s="113"/>
    </row>
    <row r="419" spans="1:14" s="8" customFormat="1" ht="39" customHeight="1">
      <c r="A419" s="144" t="s">
        <v>302</v>
      </c>
      <c r="B419" s="145"/>
      <c r="C419" s="146">
        <v>263</v>
      </c>
      <c r="D419" s="115">
        <v>901140000</v>
      </c>
      <c r="E419" s="115">
        <v>323</v>
      </c>
      <c r="F419" s="146">
        <v>263</v>
      </c>
      <c r="G419" s="147" t="s">
        <v>525</v>
      </c>
      <c r="H419" s="118">
        <f>I419+J419+K419+L419+M419+N419</f>
        <v>0</v>
      </c>
      <c r="I419" s="125"/>
      <c r="J419" s="125">
        <v>0</v>
      </c>
      <c r="K419" s="113"/>
      <c r="L419" s="113"/>
      <c r="M419" s="113"/>
      <c r="N419" s="113"/>
    </row>
    <row r="420" spans="1:14" s="8" customFormat="1" ht="33.75" customHeight="1">
      <c r="A420" s="137" t="s">
        <v>39</v>
      </c>
      <c r="B420" s="115"/>
      <c r="C420" s="115">
        <v>262</v>
      </c>
      <c r="D420" s="115">
        <v>901140000</v>
      </c>
      <c r="E420" s="115">
        <v>321</v>
      </c>
      <c r="F420" s="115">
        <v>262</v>
      </c>
      <c r="G420" s="147" t="s">
        <v>525</v>
      </c>
      <c r="H420" s="118">
        <f>I420+J420+K420+L420+M420+N420</f>
        <v>0</v>
      </c>
      <c r="I420" s="125"/>
      <c r="J420" s="125">
        <v>0</v>
      </c>
      <c r="K420" s="113"/>
      <c r="L420" s="113"/>
      <c r="M420" s="113"/>
      <c r="N420" s="113"/>
    </row>
    <row r="421" spans="1:14" s="8" customFormat="1" ht="15.75" customHeight="1">
      <c r="A421" s="137" t="s">
        <v>303</v>
      </c>
      <c r="B421" s="115"/>
      <c r="C421" s="115"/>
      <c r="D421" s="115"/>
      <c r="E421" s="115"/>
      <c r="F421" s="115"/>
      <c r="G421" s="122"/>
      <c r="H421" s="118">
        <f>I421+J421+K421+L421+M421+N421</f>
        <v>0</v>
      </c>
      <c r="I421" s="125"/>
      <c r="J421" s="125"/>
      <c r="K421" s="113"/>
      <c r="L421" s="113"/>
      <c r="M421" s="113"/>
      <c r="N421" s="113"/>
    </row>
    <row r="422" spans="1:14" s="8" customFormat="1" ht="15.75" customHeight="1">
      <c r="A422" s="137" t="s">
        <v>304</v>
      </c>
      <c r="B422" s="115"/>
      <c r="C422" s="115">
        <v>290</v>
      </c>
      <c r="D422" s="115"/>
      <c r="E422" s="115">
        <v>350</v>
      </c>
      <c r="F422" s="115">
        <v>290</v>
      </c>
      <c r="G422" s="122"/>
      <c r="H422" s="118">
        <f>I422+J422+K422+L422+M422+N422</f>
        <v>0</v>
      </c>
      <c r="I422" s="125"/>
      <c r="J422" s="125"/>
      <c r="K422" s="113"/>
      <c r="L422" s="113"/>
      <c r="M422" s="113"/>
      <c r="N422" s="113"/>
    </row>
    <row r="423" spans="1:14" s="8" customFormat="1" ht="15.75" customHeight="1">
      <c r="A423" s="137" t="s">
        <v>305</v>
      </c>
      <c r="B423" s="115"/>
      <c r="C423" s="115"/>
      <c r="D423" s="115"/>
      <c r="E423" s="115"/>
      <c r="F423" s="115"/>
      <c r="G423" s="122"/>
      <c r="H423" s="118">
        <f>I423+J423+K423+L423+M423+N423</f>
        <v>0</v>
      </c>
      <c r="I423" s="125"/>
      <c r="J423" s="125"/>
      <c r="K423" s="113"/>
      <c r="L423" s="113"/>
      <c r="M423" s="113"/>
      <c r="N423" s="113"/>
    </row>
    <row r="424" spans="1:14" s="8" customFormat="1" ht="24.75" customHeight="1">
      <c r="A424" s="137" t="s">
        <v>306</v>
      </c>
      <c r="B424" s="115">
        <v>230</v>
      </c>
      <c r="C424" s="115"/>
      <c r="D424" s="115"/>
      <c r="E424" s="115"/>
      <c r="F424" s="115"/>
      <c r="G424" s="122"/>
      <c r="H424" s="118">
        <f aca="true" t="shared" si="38" ref="H424:N424">H425+H428</f>
        <v>3252431</v>
      </c>
      <c r="I424" s="125">
        <f t="shared" si="38"/>
        <v>2959713</v>
      </c>
      <c r="J424" s="125">
        <f t="shared" si="38"/>
        <v>0</v>
      </c>
      <c r="K424" s="125">
        <f t="shared" si="38"/>
        <v>0</v>
      </c>
      <c r="L424" s="125">
        <f t="shared" si="38"/>
        <v>0</v>
      </c>
      <c r="M424" s="125">
        <f t="shared" si="38"/>
        <v>292718</v>
      </c>
      <c r="N424" s="125">
        <f t="shared" si="38"/>
        <v>0</v>
      </c>
    </row>
    <row r="425" spans="1:14" s="8" customFormat="1" ht="15.75" customHeight="1">
      <c r="A425" s="143" t="s">
        <v>3</v>
      </c>
      <c r="B425" s="115"/>
      <c r="C425" s="115"/>
      <c r="D425" s="115"/>
      <c r="E425" s="115"/>
      <c r="F425" s="115"/>
      <c r="G425" s="122"/>
      <c r="H425" s="118">
        <f aca="true" t="shared" si="39" ref="H425:N425">H426+H427</f>
        <v>3252431</v>
      </c>
      <c r="I425" s="125">
        <f t="shared" si="39"/>
        <v>2959713</v>
      </c>
      <c r="J425" s="125">
        <f t="shared" si="39"/>
        <v>0</v>
      </c>
      <c r="K425" s="125">
        <f t="shared" si="39"/>
        <v>0</v>
      </c>
      <c r="L425" s="125">
        <f t="shared" si="39"/>
        <v>0</v>
      </c>
      <c r="M425" s="125">
        <f t="shared" si="39"/>
        <v>292718</v>
      </c>
      <c r="N425" s="125">
        <f t="shared" si="39"/>
        <v>0</v>
      </c>
    </row>
    <row r="426" spans="1:14" s="8" customFormat="1" ht="15.75" customHeight="1">
      <c r="A426" s="143" t="s">
        <v>307</v>
      </c>
      <c r="B426" s="115"/>
      <c r="C426" s="115">
        <v>290</v>
      </c>
      <c r="D426" s="115"/>
      <c r="E426" s="115">
        <v>831</v>
      </c>
      <c r="F426" s="115">
        <v>290</v>
      </c>
      <c r="G426" s="122"/>
      <c r="H426" s="118">
        <f>I426+J426+K426+L426+M426+N426</f>
        <v>0</v>
      </c>
      <c r="I426" s="125"/>
      <c r="J426" s="125"/>
      <c r="K426" s="113"/>
      <c r="L426" s="113"/>
      <c r="M426" s="113"/>
      <c r="N426" s="113"/>
    </row>
    <row r="427" spans="1:14" s="8" customFormat="1" ht="15.75" customHeight="1">
      <c r="A427" s="143" t="s">
        <v>308</v>
      </c>
      <c r="B427" s="115"/>
      <c r="C427" s="115">
        <v>290</v>
      </c>
      <c r="D427" s="115"/>
      <c r="E427" s="115">
        <v>850</v>
      </c>
      <c r="F427" s="115">
        <v>290</v>
      </c>
      <c r="G427" s="122"/>
      <c r="H427" s="118">
        <f>I427+J427+K427+L427+M427+N427</f>
        <v>3252431</v>
      </c>
      <c r="I427" s="125">
        <f aca="true" t="shared" si="40" ref="I427:N427">SUM(I429:I437)</f>
        <v>2959713</v>
      </c>
      <c r="J427" s="125">
        <f t="shared" si="40"/>
        <v>0</v>
      </c>
      <c r="K427" s="125">
        <f t="shared" si="40"/>
        <v>0</v>
      </c>
      <c r="L427" s="125">
        <f t="shared" si="40"/>
        <v>0</v>
      </c>
      <c r="M427" s="125">
        <f t="shared" si="40"/>
        <v>292718</v>
      </c>
      <c r="N427" s="125">
        <f t="shared" si="40"/>
        <v>0</v>
      </c>
    </row>
    <row r="428" spans="1:14" s="8" customFormat="1" ht="15.75" customHeight="1">
      <c r="A428" s="143" t="s">
        <v>4</v>
      </c>
      <c r="B428" s="115"/>
      <c r="C428" s="115"/>
      <c r="D428" s="115"/>
      <c r="E428" s="115"/>
      <c r="F428" s="115"/>
      <c r="G428" s="122"/>
      <c r="H428" s="118"/>
      <c r="I428" s="125"/>
      <c r="J428" s="125"/>
      <c r="K428" s="125"/>
      <c r="L428" s="125"/>
      <c r="M428" s="125"/>
      <c r="N428" s="125"/>
    </row>
    <row r="429" spans="1:14" s="8" customFormat="1" ht="26.25" customHeight="1">
      <c r="A429" s="143" t="s">
        <v>309</v>
      </c>
      <c r="B429" s="115"/>
      <c r="C429" s="115">
        <v>291</v>
      </c>
      <c r="D429" s="115">
        <v>800000000</v>
      </c>
      <c r="E429" s="115">
        <v>851</v>
      </c>
      <c r="F429" s="115">
        <v>291</v>
      </c>
      <c r="G429" s="102" t="s">
        <v>516</v>
      </c>
      <c r="H429" s="118">
        <f>I429+J429+K429+L429+M429+N429</f>
        <v>2959713</v>
      </c>
      <c r="I429" s="125">
        <v>2959713</v>
      </c>
      <c r="J429" s="125"/>
      <c r="K429" s="113"/>
      <c r="L429" s="113"/>
      <c r="M429" s="113">
        <v>0</v>
      </c>
      <c r="N429" s="113"/>
    </row>
    <row r="430" spans="1:14" s="8" customFormat="1" ht="26.25" customHeight="1">
      <c r="A430" s="143" t="s">
        <v>309</v>
      </c>
      <c r="B430" s="115"/>
      <c r="C430" s="115">
        <v>291</v>
      </c>
      <c r="D430" s="116" t="s">
        <v>523</v>
      </c>
      <c r="E430" s="115">
        <v>851</v>
      </c>
      <c r="F430" s="115">
        <v>291</v>
      </c>
      <c r="G430" s="102" t="s">
        <v>532</v>
      </c>
      <c r="H430" s="118">
        <f>I430+J430+K430+L430+M430+N430</f>
        <v>292718</v>
      </c>
      <c r="I430" s="125">
        <v>0</v>
      </c>
      <c r="J430" s="125"/>
      <c r="K430" s="113"/>
      <c r="L430" s="113"/>
      <c r="M430" s="113">
        <v>292718</v>
      </c>
      <c r="N430" s="113"/>
    </row>
    <row r="431" spans="1:15" s="8" customFormat="1" ht="15" customHeight="1">
      <c r="A431" s="143" t="s">
        <v>357</v>
      </c>
      <c r="B431" s="115"/>
      <c r="C431" s="115">
        <v>291</v>
      </c>
      <c r="D431" s="115"/>
      <c r="E431" s="115">
        <v>852</v>
      </c>
      <c r="F431" s="115">
        <v>291</v>
      </c>
      <c r="G431" s="122"/>
      <c r="H431" s="118">
        <f aca="true" t="shared" si="41" ref="H431:H438">I431+J431+K431+L431+M431+N431</f>
        <v>0</v>
      </c>
      <c r="I431" s="125"/>
      <c r="J431" s="125"/>
      <c r="K431" s="113"/>
      <c r="L431" s="113"/>
      <c r="M431" s="113"/>
      <c r="N431" s="113"/>
      <c r="O431" s="8" t="s">
        <v>378</v>
      </c>
    </row>
    <row r="432" spans="1:15" s="8" customFormat="1" ht="15" customHeight="1">
      <c r="A432" s="143" t="s">
        <v>310</v>
      </c>
      <c r="B432" s="115"/>
      <c r="C432" s="115">
        <v>291</v>
      </c>
      <c r="D432" s="115"/>
      <c r="E432" s="115">
        <v>853</v>
      </c>
      <c r="F432" s="115">
        <v>291</v>
      </c>
      <c r="G432" s="122"/>
      <c r="H432" s="118">
        <f t="shared" si="41"/>
        <v>0</v>
      </c>
      <c r="I432" s="125"/>
      <c r="J432" s="125"/>
      <c r="K432" s="113"/>
      <c r="L432" s="113"/>
      <c r="M432" s="113"/>
      <c r="N432" s="113"/>
      <c r="O432" s="8" t="s">
        <v>379</v>
      </c>
    </row>
    <row r="433" spans="1:14" s="8" customFormat="1" ht="34.5" customHeight="1">
      <c r="A433" s="143" t="s">
        <v>358</v>
      </c>
      <c r="B433" s="115"/>
      <c r="C433" s="115">
        <v>292</v>
      </c>
      <c r="D433" s="115"/>
      <c r="E433" s="115">
        <v>853</v>
      </c>
      <c r="F433" s="115">
        <v>292</v>
      </c>
      <c r="G433" s="122"/>
      <c r="H433" s="118">
        <f t="shared" si="41"/>
        <v>0</v>
      </c>
      <c r="I433" s="125"/>
      <c r="J433" s="125"/>
      <c r="K433" s="113"/>
      <c r="L433" s="113"/>
      <c r="M433" s="113"/>
      <c r="N433" s="113"/>
    </row>
    <row r="434" spans="1:14" s="8" customFormat="1" ht="26.25" customHeight="1">
      <c r="A434" s="143" t="s">
        <v>359</v>
      </c>
      <c r="B434" s="115"/>
      <c r="C434" s="115">
        <v>293</v>
      </c>
      <c r="D434" s="115"/>
      <c r="E434" s="115">
        <v>853</v>
      </c>
      <c r="F434" s="115">
        <v>293</v>
      </c>
      <c r="G434" s="122"/>
      <c r="H434" s="118">
        <f t="shared" si="41"/>
        <v>0</v>
      </c>
      <c r="I434" s="125"/>
      <c r="J434" s="125"/>
      <c r="K434" s="113"/>
      <c r="L434" s="113"/>
      <c r="M434" s="113"/>
      <c r="N434" s="113"/>
    </row>
    <row r="435" spans="1:14" s="8" customFormat="1" ht="26.25" customHeight="1">
      <c r="A435" s="143" t="s">
        <v>360</v>
      </c>
      <c r="B435" s="115"/>
      <c r="C435" s="115">
        <v>294</v>
      </c>
      <c r="D435" s="115"/>
      <c r="E435" s="115">
        <v>853</v>
      </c>
      <c r="F435" s="115">
        <v>294</v>
      </c>
      <c r="G435" s="122"/>
      <c r="H435" s="118">
        <f t="shared" si="41"/>
        <v>0</v>
      </c>
      <c r="I435" s="125"/>
      <c r="J435" s="125"/>
      <c r="K435" s="113"/>
      <c r="L435" s="113"/>
      <c r="M435" s="113"/>
      <c r="N435" s="113"/>
    </row>
    <row r="436" spans="1:14" s="8" customFormat="1" ht="18" customHeight="1">
      <c r="A436" s="143" t="s">
        <v>361</v>
      </c>
      <c r="B436" s="115"/>
      <c r="C436" s="115">
        <v>295</v>
      </c>
      <c r="D436" s="115"/>
      <c r="E436" s="115">
        <v>853</v>
      </c>
      <c r="F436" s="115">
        <v>295</v>
      </c>
      <c r="G436" s="122"/>
      <c r="H436" s="118">
        <f t="shared" si="41"/>
        <v>0</v>
      </c>
      <c r="I436" s="125"/>
      <c r="J436" s="125"/>
      <c r="K436" s="113"/>
      <c r="L436" s="113"/>
      <c r="M436" s="113"/>
      <c r="N436" s="113"/>
    </row>
    <row r="437" spans="1:14" s="8" customFormat="1" ht="18" customHeight="1">
      <c r="A437" s="143" t="s">
        <v>362</v>
      </c>
      <c r="B437" s="115"/>
      <c r="C437" s="115">
        <v>296</v>
      </c>
      <c r="D437" s="115"/>
      <c r="E437" s="115">
        <v>853</v>
      </c>
      <c r="F437" s="115">
        <v>296</v>
      </c>
      <c r="G437" s="122"/>
      <c r="H437" s="118">
        <f t="shared" si="41"/>
        <v>0</v>
      </c>
      <c r="I437" s="125"/>
      <c r="J437" s="125"/>
      <c r="K437" s="113"/>
      <c r="L437" s="113"/>
      <c r="M437" s="113"/>
      <c r="N437" s="113"/>
    </row>
    <row r="438" spans="1:14" s="8" customFormat="1" ht="18" customHeight="1">
      <c r="A438" s="143" t="s">
        <v>311</v>
      </c>
      <c r="B438" s="115">
        <v>240</v>
      </c>
      <c r="C438" s="115"/>
      <c r="D438" s="115"/>
      <c r="E438" s="115"/>
      <c r="F438" s="115"/>
      <c r="G438" s="122"/>
      <c r="H438" s="118">
        <f t="shared" si="41"/>
        <v>0</v>
      </c>
      <c r="I438" s="125"/>
      <c r="J438" s="125"/>
      <c r="K438" s="113"/>
      <c r="L438" s="113"/>
      <c r="M438" s="113"/>
      <c r="N438" s="113"/>
    </row>
    <row r="439" spans="1:14" s="8" customFormat="1" ht="28.5" customHeight="1">
      <c r="A439" s="137" t="s">
        <v>312</v>
      </c>
      <c r="B439" s="115">
        <v>250</v>
      </c>
      <c r="C439" s="115"/>
      <c r="D439" s="115"/>
      <c r="E439" s="115"/>
      <c r="F439" s="115"/>
      <c r="G439" s="122"/>
      <c r="H439" s="118">
        <f>H441+H442</f>
        <v>0</v>
      </c>
      <c r="I439" s="125">
        <f aca="true" t="shared" si="42" ref="I439:N439">I441+I442</f>
        <v>0</v>
      </c>
      <c r="J439" s="125">
        <f t="shared" si="42"/>
        <v>0</v>
      </c>
      <c r="K439" s="125">
        <f t="shared" si="42"/>
        <v>0</v>
      </c>
      <c r="L439" s="125">
        <f t="shared" si="42"/>
        <v>0</v>
      </c>
      <c r="M439" s="125">
        <f t="shared" si="42"/>
        <v>0</v>
      </c>
      <c r="N439" s="125">
        <f t="shared" si="42"/>
        <v>0</v>
      </c>
    </row>
    <row r="440" spans="1:14" s="8" customFormat="1" ht="14.25" customHeight="1">
      <c r="A440" s="143" t="s">
        <v>4</v>
      </c>
      <c r="B440" s="115"/>
      <c r="C440" s="115"/>
      <c r="D440" s="115"/>
      <c r="E440" s="115"/>
      <c r="F440" s="115"/>
      <c r="G440" s="122"/>
      <c r="H440" s="118"/>
      <c r="I440" s="125"/>
      <c r="J440" s="125"/>
      <c r="K440" s="113"/>
      <c r="L440" s="113"/>
      <c r="M440" s="113"/>
      <c r="N440" s="113"/>
    </row>
    <row r="441" spans="1:14" s="8" customFormat="1" ht="29.25" customHeight="1">
      <c r="A441" s="137" t="s">
        <v>313</v>
      </c>
      <c r="B441" s="115"/>
      <c r="C441" s="115"/>
      <c r="D441" s="115"/>
      <c r="E441" s="115"/>
      <c r="F441" s="115"/>
      <c r="G441" s="122"/>
      <c r="H441" s="118">
        <f>I441+J441+K441+L441+M441+N441</f>
        <v>0</v>
      </c>
      <c r="I441" s="125"/>
      <c r="J441" s="125"/>
      <c r="K441" s="113"/>
      <c r="L441" s="113"/>
      <c r="M441" s="113"/>
      <c r="N441" s="113"/>
    </row>
    <row r="442" spans="1:14" s="8" customFormat="1" ht="34.5" customHeight="1">
      <c r="A442" s="143" t="s">
        <v>314</v>
      </c>
      <c r="B442" s="115"/>
      <c r="C442" s="115"/>
      <c r="D442" s="115"/>
      <c r="E442" s="115"/>
      <c r="F442" s="115"/>
      <c r="G442" s="122"/>
      <c r="H442" s="118">
        <f>I442+J442+K442+L442+M442+N442</f>
        <v>0</v>
      </c>
      <c r="I442" s="125"/>
      <c r="J442" s="125"/>
      <c r="K442" s="125"/>
      <c r="L442" s="125"/>
      <c r="M442" s="125"/>
      <c r="N442" s="113"/>
    </row>
    <row r="443" spans="1:14" s="8" customFormat="1" ht="27" customHeight="1">
      <c r="A443" s="143" t="s">
        <v>315</v>
      </c>
      <c r="B443" s="115">
        <v>260</v>
      </c>
      <c r="C443" s="115"/>
      <c r="D443" s="115"/>
      <c r="E443" s="115"/>
      <c r="F443" s="115"/>
      <c r="G443" s="122"/>
      <c r="H443" s="118">
        <f>I443+J443+M443</f>
        <v>9214226.74</v>
      </c>
      <c r="I443" s="125">
        <f>I445+I446+I449+I459+I460+I462+I463+I466+I473</f>
        <v>5492911.640000001</v>
      </c>
      <c r="J443" s="125">
        <f>J445+J448+J449+J458+J459+J462+J465+J466+J472+J473+J480</f>
        <v>0</v>
      </c>
      <c r="K443" s="125">
        <f>K445+K448+K449+K458+K459+K462+K465+K466+K472+K473+K480</f>
        <v>0</v>
      </c>
      <c r="L443" s="125">
        <f>L445+L448+L449+L458+L459+L462+L465+L466+L472+L473+L480</f>
        <v>0</v>
      </c>
      <c r="M443" s="125">
        <f>M445+M448+M449+M458+M459+M462+M465+M466+M472+M473+M480+M447+M461+M479+M464</f>
        <v>3721315.0999999996</v>
      </c>
      <c r="N443" s="125">
        <f>N445+N448+N449+N458+N459+N462+N465+N466+N472+N473+N480</f>
        <v>0</v>
      </c>
    </row>
    <row r="444" spans="1:14" s="41" customFormat="1" ht="15.75" customHeight="1">
      <c r="A444" s="143" t="s">
        <v>4</v>
      </c>
      <c r="B444" s="149"/>
      <c r="C444" s="115"/>
      <c r="D444" s="149"/>
      <c r="E444" s="149"/>
      <c r="F444" s="115"/>
      <c r="G444" s="122"/>
      <c r="H444" s="118"/>
      <c r="I444" s="118"/>
      <c r="J444" s="118"/>
      <c r="K444" s="118"/>
      <c r="L444" s="118"/>
      <c r="M444" s="118"/>
      <c r="N444" s="118"/>
    </row>
    <row r="445" spans="1:14" s="8" customFormat="1" ht="16.5" customHeight="1">
      <c r="A445" s="143" t="s">
        <v>316</v>
      </c>
      <c r="B445" s="115"/>
      <c r="C445" s="115">
        <v>221</v>
      </c>
      <c r="D445" s="115">
        <v>800000000</v>
      </c>
      <c r="E445" s="115">
        <v>244</v>
      </c>
      <c r="F445" s="115">
        <v>221</v>
      </c>
      <c r="G445" s="102" t="s">
        <v>533</v>
      </c>
      <c r="H445" s="118">
        <f>I445+J445+M445</f>
        <v>72000</v>
      </c>
      <c r="I445" s="125">
        <v>72000</v>
      </c>
      <c r="J445" s="125"/>
      <c r="K445" s="113"/>
      <c r="L445" s="113"/>
      <c r="M445" s="113"/>
      <c r="N445" s="113"/>
    </row>
    <row r="446" spans="1:14" s="8" customFormat="1" ht="16.5" customHeight="1">
      <c r="A446" s="143" t="s">
        <v>316</v>
      </c>
      <c r="B446" s="115"/>
      <c r="C446" s="115">
        <v>221</v>
      </c>
      <c r="D446" s="115">
        <v>800000000</v>
      </c>
      <c r="E446" s="115">
        <v>244</v>
      </c>
      <c r="F446" s="115">
        <v>221</v>
      </c>
      <c r="G446" s="102" t="s">
        <v>534</v>
      </c>
      <c r="H446" s="118">
        <f>I446+J446+M446</f>
        <v>32000.1</v>
      </c>
      <c r="I446" s="125">
        <v>32000.1</v>
      </c>
      <c r="J446" s="125"/>
      <c r="K446" s="113"/>
      <c r="L446" s="113"/>
      <c r="M446" s="113"/>
      <c r="N446" s="113"/>
    </row>
    <row r="447" spans="1:14" s="8" customFormat="1" ht="16.5" customHeight="1">
      <c r="A447" s="143" t="s">
        <v>316</v>
      </c>
      <c r="B447" s="115"/>
      <c r="C447" s="115">
        <v>221</v>
      </c>
      <c r="D447" s="116" t="s">
        <v>523</v>
      </c>
      <c r="E447" s="115">
        <v>244</v>
      </c>
      <c r="F447" s="115">
        <v>221</v>
      </c>
      <c r="G447" s="102" t="s">
        <v>535</v>
      </c>
      <c r="H447" s="118">
        <f>I447+J447+M447</f>
        <v>2909.1</v>
      </c>
      <c r="I447" s="125">
        <v>0</v>
      </c>
      <c r="J447" s="125"/>
      <c r="K447" s="113"/>
      <c r="L447" s="113"/>
      <c r="M447" s="113">
        <v>2909.1</v>
      </c>
      <c r="N447" s="113"/>
    </row>
    <row r="448" spans="1:14" s="8" customFormat="1" ht="15.75" customHeight="1">
      <c r="A448" s="143" t="s">
        <v>317</v>
      </c>
      <c r="B448" s="115"/>
      <c r="C448" s="115">
        <v>222</v>
      </c>
      <c r="D448" s="115"/>
      <c r="E448" s="115">
        <v>244</v>
      </c>
      <c r="F448" s="115">
        <v>222</v>
      </c>
      <c r="G448" s="122"/>
      <c r="H448" s="118">
        <f>I448+J448+K448+L448+M448+N448</f>
        <v>0</v>
      </c>
      <c r="I448" s="125"/>
      <c r="J448" s="125"/>
      <c r="K448" s="113"/>
      <c r="L448" s="113"/>
      <c r="M448" s="113"/>
      <c r="N448" s="113"/>
    </row>
    <row r="449" spans="1:14" s="8" customFormat="1" ht="14.25" customHeight="1">
      <c r="A449" s="143" t="s">
        <v>318</v>
      </c>
      <c r="B449" s="115"/>
      <c r="C449" s="115">
        <v>223</v>
      </c>
      <c r="D449" s="115"/>
      <c r="E449" s="115">
        <v>244</v>
      </c>
      <c r="F449" s="115">
        <v>223</v>
      </c>
      <c r="G449" s="122"/>
      <c r="H449" s="118">
        <f>I449+J449+M449</f>
        <v>2037560.0399999998</v>
      </c>
      <c r="I449" s="125">
        <f>I451+I452+I453+I454</f>
        <v>1842358.5699999998</v>
      </c>
      <c r="J449" s="125">
        <f>J451+J452+J453+J454</f>
        <v>0</v>
      </c>
      <c r="K449" s="125">
        <f>K451+K452+K453+K454</f>
        <v>0</v>
      </c>
      <c r="L449" s="125">
        <f>L451+L452+L453+L454</f>
        <v>0</v>
      </c>
      <c r="M449" s="125">
        <f>SUM(M451:M457)</f>
        <v>195201.47</v>
      </c>
      <c r="N449" s="125">
        <f>N451+N452+N453+N454</f>
        <v>0</v>
      </c>
    </row>
    <row r="450" spans="1:14" s="8" customFormat="1" ht="12.75">
      <c r="A450" s="143" t="s">
        <v>4</v>
      </c>
      <c r="B450" s="115"/>
      <c r="C450" s="115"/>
      <c r="D450" s="115"/>
      <c r="E450" s="115"/>
      <c r="F450" s="115"/>
      <c r="G450" s="122"/>
      <c r="H450" s="118"/>
      <c r="I450" s="125"/>
      <c r="J450" s="125"/>
      <c r="K450" s="113"/>
      <c r="L450" s="113"/>
      <c r="M450" s="113"/>
      <c r="N450" s="113"/>
    </row>
    <row r="451" spans="1:14" s="8" customFormat="1" ht="15" customHeight="1">
      <c r="A451" s="143" t="s">
        <v>319</v>
      </c>
      <c r="B451" s="115"/>
      <c r="C451" s="115"/>
      <c r="D451" s="115">
        <v>800000000</v>
      </c>
      <c r="E451" s="115">
        <v>244</v>
      </c>
      <c r="F451" s="115"/>
      <c r="G451" s="102" t="s">
        <v>534</v>
      </c>
      <c r="H451" s="118">
        <f aca="true" t="shared" si="43" ref="H451:H466">I451+J451+K451+L451+M451+N451</f>
        <v>1246845.97</v>
      </c>
      <c r="I451" s="125">
        <v>1246845.97</v>
      </c>
      <c r="J451" s="125"/>
      <c r="K451" s="113"/>
      <c r="L451" s="113"/>
      <c r="M451" s="113">
        <v>0</v>
      </c>
      <c r="N451" s="113"/>
    </row>
    <row r="452" spans="1:14" s="8" customFormat="1" ht="15" customHeight="1">
      <c r="A452" s="143" t="s">
        <v>320</v>
      </c>
      <c r="B452" s="115"/>
      <c r="C452" s="115"/>
      <c r="D452" s="115">
        <v>800000000</v>
      </c>
      <c r="E452" s="115">
        <v>244</v>
      </c>
      <c r="F452" s="115"/>
      <c r="G452" s="102" t="s">
        <v>534</v>
      </c>
      <c r="H452" s="118">
        <f t="shared" si="43"/>
        <v>0</v>
      </c>
      <c r="I452" s="125">
        <v>0</v>
      </c>
      <c r="J452" s="125"/>
      <c r="K452" s="113"/>
      <c r="L452" s="113"/>
      <c r="M452" s="113"/>
      <c r="N452" s="113"/>
    </row>
    <row r="453" spans="1:14" s="8" customFormat="1" ht="15" customHeight="1">
      <c r="A453" s="143" t="s">
        <v>321</v>
      </c>
      <c r="B453" s="115"/>
      <c r="C453" s="115"/>
      <c r="D453" s="115">
        <v>800000000</v>
      </c>
      <c r="E453" s="115">
        <v>244</v>
      </c>
      <c r="F453" s="115"/>
      <c r="G453" s="102" t="s">
        <v>534</v>
      </c>
      <c r="H453" s="118">
        <f t="shared" si="43"/>
        <v>470359.68</v>
      </c>
      <c r="I453" s="125">
        <v>470359.68</v>
      </c>
      <c r="J453" s="125"/>
      <c r="K453" s="113"/>
      <c r="L453" s="113"/>
      <c r="M453" s="113"/>
      <c r="N453" s="113"/>
    </row>
    <row r="454" spans="1:14" s="8" customFormat="1" ht="15" customHeight="1">
      <c r="A454" s="143" t="s">
        <v>322</v>
      </c>
      <c r="B454" s="115"/>
      <c r="C454" s="115"/>
      <c r="D454" s="115">
        <v>800000000</v>
      </c>
      <c r="E454" s="115">
        <v>244</v>
      </c>
      <c r="F454" s="115"/>
      <c r="G454" s="102" t="s">
        <v>534</v>
      </c>
      <c r="H454" s="118">
        <f t="shared" si="43"/>
        <v>125152.92</v>
      </c>
      <c r="I454" s="125">
        <v>125152.92</v>
      </c>
      <c r="J454" s="125"/>
      <c r="K454" s="113"/>
      <c r="L454" s="113"/>
      <c r="M454" s="113"/>
      <c r="N454" s="113"/>
    </row>
    <row r="455" spans="1:14" s="8" customFormat="1" ht="15" customHeight="1">
      <c r="A455" s="143" t="s">
        <v>319</v>
      </c>
      <c r="B455" s="115"/>
      <c r="C455" s="115"/>
      <c r="D455" s="116" t="s">
        <v>523</v>
      </c>
      <c r="E455" s="115">
        <v>244</v>
      </c>
      <c r="F455" s="115"/>
      <c r="G455" s="102" t="s">
        <v>535</v>
      </c>
      <c r="H455" s="118">
        <f t="shared" si="43"/>
        <v>9301.35</v>
      </c>
      <c r="I455" s="125">
        <v>0</v>
      </c>
      <c r="J455" s="125"/>
      <c r="K455" s="113"/>
      <c r="L455" s="113"/>
      <c r="M455" s="113">
        <v>9301.35</v>
      </c>
      <c r="N455" s="113"/>
    </row>
    <row r="456" spans="1:14" s="8" customFormat="1" ht="15" customHeight="1">
      <c r="A456" s="143" t="s">
        <v>321</v>
      </c>
      <c r="B456" s="115"/>
      <c r="C456" s="115"/>
      <c r="D456" s="116" t="s">
        <v>523</v>
      </c>
      <c r="E456" s="115">
        <v>244</v>
      </c>
      <c r="F456" s="115"/>
      <c r="G456" s="102" t="s">
        <v>535</v>
      </c>
      <c r="H456" s="118">
        <f t="shared" si="43"/>
        <v>143362.88</v>
      </c>
      <c r="I456" s="125">
        <v>0</v>
      </c>
      <c r="J456" s="125"/>
      <c r="K456" s="113"/>
      <c r="L456" s="113"/>
      <c r="M456" s="113">
        <v>143362.88</v>
      </c>
      <c r="N456" s="113"/>
    </row>
    <row r="457" spans="1:14" s="8" customFormat="1" ht="15" customHeight="1">
      <c r="A457" s="143" t="s">
        <v>322</v>
      </c>
      <c r="B457" s="115"/>
      <c r="C457" s="115"/>
      <c r="D457" s="116" t="s">
        <v>523</v>
      </c>
      <c r="E457" s="115">
        <v>244</v>
      </c>
      <c r="F457" s="115"/>
      <c r="G457" s="102" t="s">
        <v>535</v>
      </c>
      <c r="H457" s="118">
        <f t="shared" si="43"/>
        <v>42537.24</v>
      </c>
      <c r="I457" s="125">
        <v>0</v>
      </c>
      <c r="J457" s="125"/>
      <c r="K457" s="113"/>
      <c r="L457" s="113"/>
      <c r="M457" s="113">
        <v>42537.24</v>
      </c>
      <c r="N457" s="113"/>
    </row>
    <row r="458" spans="1:14" s="8" customFormat="1" ht="15" customHeight="1">
      <c r="A458" s="143" t="s">
        <v>323</v>
      </c>
      <c r="B458" s="115"/>
      <c r="C458" s="115">
        <v>224</v>
      </c>
      <c r="D458" s="115"/>
      <c r="E458" s="115"/>
      <c r="F458" s="115">
        <v>224</v>
      </c>
      <c r="G458" s="122"/>
      <c r="H458" s="118">
        <f t="shared" si="43"/>
        <v>0</v>
      </c>
      <c r="I458" s="125">
        <v>0</v>
      </c>
      <c r="J458" s="125"/>
      <c r="K458" s="113"/>
      <c r="L458" s="113"/>
      <c r="M458" s="113"/>
      <c r="N458" s="113"/>
    </row>
    <row r="459" spans="1:14" s="8" customFormat="1" ht="15" customHeight="1">
      <c r="A459" s="143" t="s">
        <v>324</v>
      </c>
      <c r="B459" s="115"/>
      <c r="C459" s="115">
        <v>225</v>
      </c>
      <c r="D459" s="115">
        <v>800000000</v>
      </c>
      <c r="E459" s="115">
        <v>244</v>
      </c>
      <c r="F459" s="115">
        <v>225</v>
      </c>
      <c r="G459" s="102" t="s">
        <v>533</v>
      </c>
      <c r="H459" s="118">
        <f t="shared" si="43"/>
        <v>132945.86</v>
      </c>
      <c r="I459" s="125">
        <v>132945.86</v>
      </c>
      <c r="J459" s="125"/>
      <c r="K459" s="113"/>
      <c r="L459" s="113"/>
      <c r="M459" s="113"/>
      <c r="N459" s="113"/>
    </row>
    <row r="460" spans="1:14" s="8" customFormat="1" ht="15" customHeight="1">
      <c r="A460" s="143" t="s">
        <v>324</v>
      </c>
      <c r="B460" s="115"/>
      <c r="C460" s="115">
        <v>225</v>
      </c>
      <c r="D460" s="115">
        <v>800000000</v>
      </c>
      <c r="E460" s="115">
        <v>244</v>
      </c>
      <c r="F460" s="115">
        <v>225</v>
      </c>
      <c r="G460" s="102" t="s">
        <v>534</v>
      </c>
      <c r="H460" s="118">
        <f t="shared" si="43"/>
        <v>2270207.21</v>
      </c>
      <c r="I460" s="125">
        <f>2200842.68+69364.53</f>
        <v>2270207.21</v>
      </c>
      <c r="J460" s="125"/>
      <c r="K460" s="113"/>
      <c r="L460" s="113"/>
      <c r="M460" s="113"/>
      <c r="N460" s="113"/>
    </row>
    <row r="461" spans="1:14" s="8" customFormat="1" ht="15" customHeight="1">
      <c r="A461" s="143" t="s">
        <v>324</v>
      </c>
      <c r="B461" s="115"/>
      <c r="C461" s="115">
        <v>225</v>
      </c>
      <c r="D461" s="116" t="s">
        <v>523</v>
      </c>
      <c r="E461" s="115">
        <v>244</v>
      </c>
      <c r="F461" s="115">
        <v>225</v>
      </c>
      <c r="G461" s="102" t="s">
        <v>535</v>
      </c>
      <c r="H461" s="118">
        <f t="shared" si="43"/>
        <v>2644941.9499999997</v>
      </c>
      <c r="I461" s="125">
        <v>0</v>
      </c>
      <c r="J461" s="125"/>
      <c r="K461" s="113"/>
      <c r="L461" s="113"/>
      <c r="M461" s="113">
        <f>2600998.63+33943.32+10000</f>
        <v>2644941.9499999997</v>
      </c>
      <c r="N461" s="113"/>
    </row>
    <row r="462" spans="1:14" s="8" customFormat="1" ht="15" customHeight="1">
      <c r="A462" s="143" t="s">
        <v>325</v>
      </c>
      <c r="B462" s="115"/>
      <c r="C462" s="115">
        <v>310</v>
      </c>
      <c r="D462" s="115">
        <v>800000000</v>
      </c>
      <c r="E462" s="115">
        <v>244</v>
      </c>
      <c r="F462" s="115">
        <v>310</v>
      </c>
      <c r="G462" s="102" t="s">
        <v>533</v>
      </c>
      <c r="H462" s="118">
        <f t="shared" si="43"/>
        <v>450000</v>
      </c>
      <c r="I462" s="125">
        <v>450000</v>
      </c>
      <c r="J462" s="125"/>
      <c r="K462" s="113"/>
      <c r="L462" s="113"/>
      <c r="M462" s="113"/>
      <c r="N462" s="113"/>
    </row>
    <row r="463" spans="1:14" s="8" customFormat="1" ht="15" customHeight="1">
      <c r="A463" s="143" t="s">
        <v>325</v>
      </c>
      <c r="B463" s="115"/>
      <c r="C463" s="115">
        <v>310</v>
      </c>
      <c r="D463" s="115">
        <v>800000000</v>
      </c>
      <c r="E463" s="115">
        <v>244</v>
      </c>
      <c r="F463" s="115">
        <v>310</v>
      </c>
      <c r="G463" s="102" t="s">
        <v>534</v>
      </c>
      <c r="H463" s="118">
        <f t="shared" si="43"/>
        <v>262999.9</v>
      </c>
      <c r="I463" s="125">
        <f>295000-32000.1</f>
        <v>262999.9</v>
      </c>
      <c r="J463" s="125"/>
      <c r="K463" s="113"/>
      <c r="L463" s="113"/>
      <c r="M463" s="113"/>
      <c r="N463" s="113"/>
    </row>
    <row r="464" spans="1:14" s="8" customFormat="1" ht="15" customHeight="1">
      <c r="A464" s="143" t="s">
        <v>325</v>
      </c>
      <c r="B464" s="115"/>
      <c r="C464" s="115">
        <v>310</v>
      </c>
      <c r="D464" s="116" t="s">
        <v>523</v>
      </c>
      <c r="E464" s="115">
        <v>244</v>
      </c>
      <c r="F464" s="115">
        <v>310</v>
      </c>
      <c r="G464" s="102" t="s">
        <v>535</v>
      </c>
      <c r="H464" s="118">
        <f t="shared" si="43"/>
        <v>104248</v>
      </c>
      <c r="I464" s="125">
        <v>0</v>
      </c>
      <c r="J464" s="125"/>
      <c r="K464" s="113"/>
      <c r="L464" s="113"/>
      <c r="M464" s="113">
        <v>104248</v>
      </c>
      <c r="N464" s="113"/>
    </row>
    <row r="465" spans="1:14" s="8" customFormat="1" ht="15" customHeight="1">
      <c r="A465" s="143" t="s">
        <v>326</v>
      </c>
      <c r="B465" s="115"/>
      <c r="C465" s="115">
        <v>320</v>
      </c>
      <c r="D465" s="115"/>
      <c r="E465" s="115">
        <v>244</v>
      </c>
      <c r="F465" s="115">
        <v>320</v>
      </c>
      <c r="G465" s="122"/>
      <c r="H465" s="118">
        <f t="shared" si="43"/>
        <v>0</v>
      </c>
      <c r="I465" s="125">
        <v>0</v>
      </c>
      <c r="J465" s="125"/>
      <c r="K465" s="113"/>
      <c r="L465" s="113"/>
      <c r="M465" s="113"/>
      <c r="N465" s="113"/>
    </row>
    <row r="466" spans="1:14" s="8" customFormat="1" ht="15" customHeight="1">
      <c r="A466" s="143" t="s">
        <v>327</v>
      </c>
      <c r="B466" s="115"/>
      <c r="C466" s="115">
        <v>340</v>
      </c>
      <c r="D466" s="115"/>
      <c r="E466" s="115">
        <v>244</v>
      </c>
      <c r="F466" s="115">
        <v>340</v>
      </c>
      <c r="G466" s="122"/>
      <c r="H466" s="118">
        <f t="shared" si="43"/>
        <v>124943.1</v>
      </c>
      <c r="I466" s="125">
        <f aca="true" t="shared" si="44" ref="I466:N466">I467+I468+I469+I470+I471</f>
        <v>124943.1</v>
      </c>
      <c r="J466" s="125">
        <f t="shared" si="44"/>
        <v>0</v>
      </c>
      <c r="K466" s="125">
        <f t="shared" si="44"/>
        <v>0</v>
      </c>
      <c r="L466" s="125">
        <f t="shared" si="44"/>
        <v>0</v>
      </c>
      <c r="M466" s="125">
        <f t="shared" si="44"/>
        <v>0</v>
      </c>
      <c r="N466" s="125">
        <f t="shared" si="44"/>
        <v>0</v>
      </c>
    </row>
    <row r="467" spans="1:14" s="8" customFormat="1" ht="15" customHeight="1">
      <c r="A467" s="143" t="s">
        <v>4</v>
      </c>
      <c r="B467" s="115"/>
      <c r="C467" s="115"/>
      <c r="D467" s="115"/>
      <c r="E467" s="115"/>
      <c r="F467" s="115"/>
      <c r="G467" s="122"/>
      <c r="H467" s="118"/>
      <c r="I467" s="125"/>
      <c r="J467" s="125"/>
      <c r="K467" s="113"/>
      <c r="L467" s="113"/>
      <c r="M467" s="113"/>
      <c r="N467" s="113"/>
    </row>
    <row r="468" spans="1:14" s="8" customFormat="1" ht="15" customHeight="1">
      <c r="A468" s="143" t="s">
        <v>328</v>
      </c>
      <c r="B468" s="115"/>
      <c r="C468" s="115"/>
      <c r="D468" s="115"/>
      <c r="E468" s="115"/>
      <c r="F468" s="115"/>
      <c r="G468" s="102"/>
      <c r="H468" s="118">
        <f>I468+J468+K468+L468+M468+N468</f>
        <v>0</v>
      </c>
      <c r="I468" s="125">
        <v>0</v>
      </c>
      <c r="J468" s="125"/>
      <c r="K468" s="113"/>
      <c r="L468" s="113"/>
      <c r="M468" s="113"/>
      <c r="N468" s="113"/>
    </row>
    <row r="469" spans="1:14" s="8" customFormat="1" ht="15" customHeight="1">
      <c r="A469" s="143" t="s">
        <v>329</v>
      </c>
      <c r="B469" s="115"/>
      <c r="C469" s="115"/>
      <c r="D469" s="115"/>
      <c r="E469" s="115"/>
      <c r="F469" s="115"/>
      <c r="G469" s="122"/>
      <c r="H469" s="118">
        <f>I469+J469+K469+L469+M469+N469</f>
        <v>0</v>
      </c>
      <c r="I469" s="125">
        <v>0</v>
      </c>
      <c r="J469" s="125"/>
      <c r="K469" s="113"/>
      <c r="L469" s="113"/>
      <c r="M469" s="113"/>
      <c r="N469" s="113"/>
    </row>
    <row r="470" spans="1:14" s="8" customFormat="1" ht="15" customHeight="1">
      <c r="A470" s="143" t="s">
        <v>330</v>
      </c>
      <c r="B470" s="115"/>
      <c r="C470" s="115">
        <v>346</v>
      </c>
      <c r="D470" s="115">
        <v>800000000</v>
      </c>
      <c r="E470" s="115">
        <v>244</v>
      </c>
      <c r="F470" s="115"/>
      <c r="G470" s="102" t="s">
        <v>534</v>
      </c>
      <c r="H470" s="118">
        <f>I470+J470+K470+L470+M470+N470</f>
        <v>124943.1</v>
      </c>
      <c r="I470" s="125">
        <v>124943.1</v>
      </c>
      <c r="J470" s="125"/>
      <c r="K470" s="113"/>
      <c r="L470" s="113"/>
      <c r="M470" s="113"/>
      <c r="N470" s="113"/>
    </row>
    <row r="471" spans="1:14" s="8" customFormat="1" ht="15" customHeight="1">
      <c r="A471" s="143" t="s">
        <v>331</v>
      </c>
      <c r="B471" s="115"/>
      <c r="C471" s="115"/>
      <c r="D471" s="115"/>
      <c r="E471" s="115"/>
      <c r="F471" s="115"/>
      <c r="G471" s="122"/>
      <c r="H471" s="118">
        <f>I471+J471+K471+L471+M471+N471</f>
        <v>0</v>
      </c>
      <c r="I471" s="125">
        <v>0</v>
      </c>
      <c r="J471" s="125"/>
      <c r="K471" s="113"/>
      <c r="L471" s="113"/>
      <c r="M471" s="113"/>
      <c r="N471" s="113"/>
    </row>
    <row r="472" spans="1:14" s="8" customFormat="1" ht="17.25" customHeight="1">
      <c r="A472" s="143" t="s">
        <v>332</v>
      </c>
      <c r="B472" s="115"/>
      <c r="C472" s="115">
        <v>530</v>
      </c>
      <c r="D472" s="115"/>
      <c r="E472" s="115">
        <v>465</v>
      </c>
      <c r="F472" s="115">
        <v>530</v>
      </c>
      <c r="G472" s="122"/>
      <c r="H472" s="118"/>
      <c r="I472" s="125"/>
      <c r="J472" s="125"/>
      <c r="K472" s="113"/>
      <c r="L472" s="113"/>
      <c r="M472" s="113"/>
      <c r="N472" s="113"/>
    </row>
    <row r="473" spans="1:14" s="8" customFormat="1" ht="17.25" customHeight="1">
      <c r="A473" s="143" t="s">
        <v>333</v>
      </c>
      <c r="B473" s="115"/>
      <c r="C473" s="115">
        <v>226</v>
      </c>
      <c r="D473" s="115">
        <v>800000000</v>
      </c>
      <c r="E473" s="115">
        <v>244</v>
      </c>
      <c r="F473" s="115">
        <v>226</v>
      </c>
      <c r="G473" s="122"/>
      <c r="H473" s="118">
        <f>I473+J473+K473+L473+M473+N473</f>
        <v>305456.9</v>
      </c>
      <c r="I473" s="125">
        <f>SUM(I475:I478)</f>
        <v>305456.9</v>
      </c>
      <c r="J473" s="125">
        <f>J475+J476+J477</f>
        <v>0</v>
      </c>
      <c r="K473" s="125">
        <f>K475+K476+K477</f>
        <v>0</v>
      </c>
      <c r="L473" s="125">
        <f>L475+L476+L477</f>
        <v>0</v>
      </c>
      <c r="M473" s="125">
        <f>M475+M476+M477</f>
        <v>0</v>
      </c>
      <c r="N473" s="125">
        <f>N475+N476+N477</f>
        <v>0</v>
      </c>
    </row>
    <row r="474" spans="1:14" s="8" customFormat="1" ht="17.25" customHeight="1">
      <c r="A474" s="143" t="s">
        <v>4</v>
      </c>
      <c r="B474" s="115"/>
      <c r="C474" s="115"/>
      <c r="D474" s="115"/>
      <c r="E474" s="115"/>
      <c r="F474" s="115"/>
      <c r="G474" s="122"/>
      <c r="H474" s="118"/>
      <c r="I474" s="125"/>
      <c r="J474" s="125"/>
      <c r="K474" s="113"/>
      <c r="L474" s="113"/>
      <c r="M474" s="113"/>
      <c r="N474" s="113"/>
    </row>
    <row r="475" spans="1:14" s="8" customFormat="1" ht="17.25" customHeight="1">
      <c r="A475" s="143" t="s">
        <v>334</v>
      </c>
      <c r="B475" s="115"/>
      <c r="C475" s="115"/>
      <c r="D475" s="115"/>
      <c r="E475" s="115"/>
      <c r="F475" s="115"/>
      <c r="G475" s="122"/>
      <c r="H475" s="118">
        <f aca="true" t="shared" si="45" ref="H475:H480">I475+J475+K475+L475+M475+N475</f>
        <v>0</v>
      </c>
      <c r="I475" s="125"/>
      <c r="J475" s="125"/>
      <c r="K475" s="113"/>
      <c r="L475" s="113"/>
      <c r="M475" s="113"/>
      <c r="N475" s="113"/>
    </row>
    <row r="476" spans="1:14" s="8" customFormat="1" ht="28.5" customHeight="1">
      <c r="A476" s="143" t="s">
        <v>335</v>
      </c>
      <c r="B476" s="115"/>
      <c r="C476" s="115"/>
      <c r="D476" s="115"/>
      <c r="E476" s="115"/>
      <c r="F476" s="115"/>
      <c r="G476" s="122"/>
      <c r="H476" s="118">
        <f t="shared" si="45"/>
        <v>0</v>
      </c>
      <c r="I476" s="125"/>
      <c r="J476" s="125"/>
      <c r="K476" s="113"/>
      <c r="L476" s="113"/>
      <c r="M476" s="113"/>
      <c r="N476" s="113"/>
    </row>
    <row r="477" spans="1:14" s="8" customFormat="1" ht="17.25" customHeight="1">
      <c r="A477" s="143" t="s">
        <v>336</v>
      </c>
      <c r="B477" s="115"/>
      <c r="C477" s="115">
        <v>226</v>
      </c>
      <c r="D477" s="115">
        <v>800000000</v>
      </c>
      <c r="E477" s="115">
        <v>244</v>
      </c>
      <c r="F477" s="115">
        <v>226</v>
      </c>
      <c r="G477" s="102" t="s">
        <v>533</v>
      </c>
      <c r="H477" s="118">
        <f t="shared" si="45"/>
        <v>101269</v>
      </c>
      <c r="I477" s="125">
        <v>101269</v>
      </c>
      <c r="J477" s="125"/>
      <c r="K477" s="113"/>
      <c r="L477" s="113"/>
      <c r="M477" s="113"/>
      <c r="N477" s="113"/>
    </row>
    <row r="478" spans="1:14" s="8" customFormat="1" ht="17.25" customHeight="1">
      <c r="A478" s="143" t="s">
        <v>336</v>
      </c>
      <c r="B478" s="115"/>
      <c r="C478" s="115">
        <v>226</v>
      </c>
      <c r="D478" s="115">
        <v>800000000</v>
      </c>
      <c r="E478" s="115">
        <v>244</v>
      </c>
      <c r="F478" s="115">
        <v>226</v>
      </c>
      <c r="G478" s="102" t="s">
        <v>534</v>
      </c>
      <c r="H478" s="118">
        <f t="shared" si="45"/>
        <v>204187.9</v>
      </c>
      <c r="I478" s="125">
        <v>204187.9</v>
      </c>
      <c r="J478" s="125"/>
      <c r="K478" s="113"/>
      <c r="L478" s="113"/>
      <c r="M478" s="113"/>
      <c r="N478" s="113"/>
    </row>
    <row r="479" spans="1:14" s="8" customFormat="1" ht="17.25" customHeight="1">
      <c r="A479" s="143" t="s">
        <v>336</v>
      </c>
      <c r="B479" s="115"/>
      <c r="C479" s="115">
        <v>226</v>
      </c>
      <c r="D479" s="116" t="s">
        <v>523</v>
      </c>
      <c r="E479" s="115">
        <v>244</v>
      </c>
      <c r="F479" s="115">
        <v>226</v>
      </c>
      <c r="G479" s="102" t="s">
        <v>535</v>
      </c>
      <c r="H479" s="118">
        <f t="shared" si="45"/>
        <v>774014.58</v>
      </c>
      <c r="I479" s="125">
        <v>0</v>
      </c>
      <c r="J479" s="125"/>
      <c r="K479" s="113"/>
      <c r="L479" s="113"/>
      <c r="M479" s="113">
        <v>774014.58</v>
      </c>
      <c r="N479" s="113"/>
    </row>
    <row r="480" spans="1:14" s="8" customFormat="1" ht="17.25" customHeight="1">
      <c r="A480" s="143" t="s">
        <v>400</v>
      </c>
      <c r="B480" s="115"/>
      <c r="C480" s="115">
        <v>296</v>
      </c>
      <c r="D480" s="115"/>
      <c r="E480" s="115">
        <v>244</v>
      </c>
      <c r="F480" s="115">
        <v>296</v>
      </c>
      <c r="G480" s="122"/>
      <c r="H480" s="118">
        <f t="shared" si="45"/>
        <v>0</v>
      </c>
      <c r="I480" s="125"/>
      <c r="J480" s="125"/>
      <c r="K480" s="113"/>
      <c r="L480" s="113"/>
      <c r="M480" s="113"/>
      <c r="N480" s="113"/>
    </row>
    <row r="481" spans="1:14" s="8" customFormat="1" ht="17.25" customHeight="1">
      <c r="A481" s="137" t="s">
        <v>53</v>
      </c>
      <c r="B481" s="115">
        <v>300</v>
      </c>
      <c r="C481" s="115" t="s">
        <v>10</v>
      </c>
      <c r="D481" s="115"/>
      <c r="E481" s="115"/>
      <c r="F481" s="115" t="s">
        <v>10</v>
      </c>
      <c r="G481" s="122"/>
      <c r="H481" s="118">
        <f>H483+H484</f>
        <v>0</v>
      </c>
      <c r="I481" s="125">
        <f aca="true" t="shared" si="46" ref="I481:N481">I483+I484</f>
        <v>0</v>
      </c>
      <c r="J481" s="125">
        <f t="shared" si="46"/>
        <v>0</v>
      </c>
      <c r="K481" s="125">
        <f t="shared" si="46"/>
        <v>0</v>
      </c>
      <c r="L481" s="125">
        <f t="shared" si="46"/>
        <v>0</v>
      </c>
      <c r="M481" s="125">
        <f t="shared" si="46"/>
        <v>0</v>
      </c>
      <c r="N481" s="125">
        <f t="shared" si="46"/>
        <v>0</v>
      </c>
    </row>
    <row r="482" spans="1:14" s="8" customFormat="1" ht="14.25" customHeight="1">
      <c r="A482" s="137" t="s">
        <v>3</v>
      </c>
      <c r="B482" s="115"/>
      <c r="C482" s="149"/>
      <c r="D482" s="115"/>
      <c r="E482" s="115"/>
      <c r="F482" s="149"/>
      <c r="G482" s="150"/>
      <c r="H482" s="118"/>
      <c r="I482" s="125"/>
      <c r="J482" s="125"/>
      <c r="K482" s="113"/>
      <c r="L482" s="113"/>
      <c r="M482" s="113"/>
      <c r="N482" s="113"/>
    </row>
    <row r="483" spans="1:14" s="8" customFormat="1" ht="16.5" customHeight="1">
      <c r="A483" s="137" t="s">
        <v>54</v>
      </c>
      <c r="B483" s="145">
        <v>310</v>
      </c>
      <c r="C483" s="151"/>
      <c r="D483" s="145"/>
      <c r="E483" s="145"/>
      <c r="F483" s="151"/>
      <c r="G483" s="152"/>
      <c r="H483" s="118">
        <f>I483+J483+K483+L483+M483+N483</f>
        <v>0</v>
      </c>
      <c r="I483" s="125"/>
      <c r="J483" s="125"/>
      <c r="K483" s="113"/>
      <c r="L483" s="113"/>
      <c r="M483" s="113"/>
      <c r="N483" s="113"/>
    </row>
    <row r="484" spans="1:14" s="153" customFormat="1" ht="15" customHeight="1">
      <c r="A484" s="137" t="s">
        <v>55</v>
      </c>
      <c r="B484" s="115">
        <v>320</v>
      </c>
      <c r="C484" s="115"/>
      <c r="D484" s="115"/>
      <c r="E484" s="115"/>
      <c r="F484" s="115"/>
      <c r="G484" s="122"/>
      <c r="H484" s="118">
        <f>I484+J484+K484+L484+M484+N484</f>
        <v>0</v>
      </c>
      <c r="I484" s="125"/>
      <c r="J484" s="125"/>
      <c r="K484" s="113"/>
      <c r="L484" s="113"/>
      <c r="M484" s="113"/>
      <c r="N484" s="113"/>
    </row>
    <row r="485" spans="1:14" s="153" customFormat="1" ht="17.25" customHeight="1">
      <c r="A485" s="137" t="s">
        <v>56</v>
      </c>
      <c r="B485" s="115">
        <v>400</v>
      </c>
      <c r="C485" s="115"/>
      <c r="D485" s="115"/>
      <c r="E485" s="115"/>
      <c r="F485" s="115"/>
      <c r="G485" s="122"/>
      <c r="H485" s="118">
        <f>H487+H488</f>
        <v>0</v>
      </c>
      <c r="I485" s="125">
        <f aca="true" t="shared" si="47" ref="I485:N485">I487+I488</f>
        <v>0</v>
      </c>
      <c r="J485" s="125">
        <f t="shared" si="47"/>
        <v>0</v>
      </c>
      <c r="K485" s="125">
        <f t="shared" si="47"/>
        <v>0</v>
      </c>
      <c r="L485" s="125">
        <f t="shared" si="47"/>
        <v>0</v>
      </c>
      <c r="M485" s="125">
        <f t="shared" si="47"/>
        <v>0</v>
      </c>
      <c r="N485" s="125">
        <f t="shared" si="47"/>
        <v>0</v>
      </c>
    </row>
    <row r="486" spans="1:14" s="153" customFormat="1" ht="14.25" customHeight="1">
      <c r="A486" s="137" t="s">
        <v>3</v>
      </c>
      <c r="B486" s="115"/>
      <c r="C486" s="149"/>
      <c r="D486" s="115"/>
      <c r="E486" s="115"/>
      <c r="F486" s="149"/>
      <c r="G486" s="150"/>
      <c r="H486" s="118"/>
      <c r="I486" s="125"/>
      <c r="J486" s="125"/>
      <c r="K486" s="113"/>
      <c r="L486" s="113"/>
      <c r="M486" s="113"/>
      <c r="N486" s="113"/>
    </row>
    <row r="487" spans="1:14" s="153" customFormat="1" ht="15.75" customHeight="1">
      <c r="A487" s="137" t="s">
        <v>57</v>
      </c>
      <c r="B487" s="145">
        <v>410</v>
      </c>
      <c r="C487" s="151"/>
      <c r="D487" s="145"/>
      <c r="E487" s="145"/>
      <c r="F487" s="151"/>
      <c r="G487" s="152"/>
      <c r="H487" s="118">
        <f aca="true" t="shared" si="48" ref="H487:H497">I487+J487+K487+L487+M487+N487</f>
        <v>0</v>
      </c>
      <c r="I487" s="125"/>
      <c r="J487" s="125"/>
      <c r="K487" s="113"/>
      <c r="L487" s="113"/>
      <c r="M487" s="113"/>
      <c r="N487" s="113"/>
    </row>
    <row r="488" spans="1:14" s="153" customFormat="1" ht="13.5" customHeight="1">
      <c r="A488" s="137" t="s">
        <v>58</v>
      </c>
      <c r="B488" s="115">
        <v>420</v>
      </c>
      <c r="C488" s="115"/>
      <c r="D488" s="115"/>
      <c r="E488" s="115"/>
      <c r="F488" s="115"/>
      <c r="G488" s="122"/>
      <c r="H488" s="118">
        <f t="shared" si="48"/>
        <v>0</v>
      </c>
      <c r="I488" s="125"/>
      <c r="J488" s="125"/>
      <c r="K488" s="113"/>
      <c r="L488" s="113"/>
      <c r="M488" s="113"/>
      <c r="N488" s="113"/>
    </row>
    <row r="489" spans="1:14" s="153" customFormat="1" ht="28.5" customHeight="1">
      <c r="A489" s="137" t="s">
        <v>337</v>
      </c>
      <c r="B489" s="115">
        <v>500</v>
      </c>
      <c r="C489" s="115" t="s">
        <v>10</v>
      </c>
      <c r="D489" s="115"/>
      <c r="E489" s="115"/>
      <c r="F489" s="115" t="s">
        <v>10</v>
      </c>
      <c r="G489" s="122"/>
      <c r="H489" s="118">
        <f t="shared" si="48"/>
        <v>0</v>
      </c>
      <c r="I489" s="125">
        <f>I490+I491</f>
        <v>0</v>
      </c>
      <c r="J489" s="125">
        <f>J490+J491</f>
        <v>0</v>
      </c>
      <c r="K489" s="125">
        <f>K490+K491</f>
        <v>0</v>
      </c>
      <c r="L489" s="125">
        <f>L490+L491</f>
        <v>0</v>
      </c>
      <c r="M489" s="125">
        <f>M490+M491+M492+M493+M494+M495</f>
        <v>0</v>
      </c>
      <c r="N489" s="125">
        <f>N490+N491</f>
        <v>0</v>
      </c>
    </row>
    <row r="490" spans="1:14" s="153" customFormat="1" ht="18" customHeight="1">
      <c r="A490" s="137" t="s">
        <v>59</v>
      </c>
      <c r="B490" s="115"/>
      <c r="C490" s="115">
        <v>131</v>
      </c>
      <c r="D490" s="115">
        <v>800000000</v>
      </c>
      <c r="E490" s="115"/>
      <c r="F490" s="115">
        <v>131</v>
      </c>
      <c r="G490" s="102" t="s">
        <v>534</v>
      </c>
      <c r="H490" s="118">
        <f t="shared" si="48"/>
        <v>0</v>
      </c>
      <c r="I490" s="154">
        <v>0</v>
      </c>
      <c r="J490" s="125"/>
      <c r="K490" s="113"/>
      <c r="L490" s="113"/>
      <c r="M490" s="113"/>
      <c r="N490" s="113"/>
    </row>
    <row r="491" spans="1:14" s="153" customFormat="1" ht="18" customHeight="1">
      <c r="A491" s="137" t="s">
        <v>59</v>
      </c>
      <c r="B491" s="115"/>
      <c r="C491" s="115">
        <v>152</v>
      </c>
      <c r="D491" s="115">
        <v>901480000</v>
      </c>
      <c r="E491" s="115"/>
      <c r="F491" s="115">
        <v>152</v>
      </c>
      <c r="G491" s="122" t="s">
        <v>537</v>
      </c>
      <c r="H491" s="118">
        <f t="shared" si="48"/>
        <v>0</v>
      </c>
      <c r="I491" s="154">
        <v>0</v>
      </c>
      <c r="J491" s="125"/>
      <c r="K491" s="113"/>
      <c r="L491" s="113"/>
      <c r="M491" s="113"/>
      <c r="N491" s="113"/>
    </row>
    <row r="492" spans="1:14" s="153" customFormat="1" ht="18" customHeight="1">
      <c r="A492" s="137" t="s">
        <v>59</v>
      </c>
      <c r="B492" s="115"/>
      <c r="C492" s="115">
        <v>121</v>
      </c>
      <c r="D492" s="116" t="s">
        <v>523</v>
      </c>
      <c r="E492" s="115"/>
      <c r="F492" s="115">
        <v>121</v>
      </c>
      <c r="G492" s="102" t="s">
        <v>535</v>
      </c>
      <c r="H492" s="118">
        <f t="shared" si="48"/>
        <v>0</v>
      </c>
      <c r="I492" s="154">
        <v>0</v>
      </c>
      <c r="J492" s="125"/>
      <c r="K492" s="113"/>
      <c r="L492" s="113"/>
      <c r="M492" s="113"/>
      <c r="N492" s="113"/>
    </row>
    <row r="493" spans="1:14" s="153" customFormat="1" ht="18" customHeight="1">
      <c r="A493" s="137" t="s">
        <v>59</v>
      </c>
      <c r="B493" s="115"/>
      <c r="C493" s="115">
        <v>131</v>
      </c>
      <c r="D493" s="116" t="s">
        <v>523</v>
      </c>
      <c r="E493" s="115"/>
      <c r="F493" s="115">
        <v>131</v>
      </c>
      <c r="G493" s="102" t="s">
        <v>535</v>
      </c>
      <c r="H493" s="118">
        <f t="shared" si="48"/>
        <v>0</v>
      </c>
      <c r="I493" s="154">
        <v>0</v>
      </c>
      <c r="J493" s="125"/>
      <c r="K493" s="113"/>
      <c r="L493" s="113"/>
      <c r="M493" s="113"/>
      <c r="N493" s="113"/>
    </row>
    <row r="494" spans="1:14" s="153" customFormat="1" ht="18" customHeight="1">
      <c r="A494" s="137" t="s">
        <v>59</v>
      </c>
      <c r="B494" s="115"/>
      <c r="C494" s="115">
        <v>135</v>
      </c>
      <c r="D494" s="116" t="s">
        <v>523</v>
      </c>
      <c r="E494" s="115"/>
      <c r="F494" s="115">
        <v>135</v>
      </c>
      <c r="G494" s="102" t="s">
        <v>535</v>
      </c>
      <c r="H494" s="118">
        <f t="shared" si="48"/>
        <v>0</v>
      </c>
      <c r="I494" s="154">
        <v>0</v>
      </c>
      <c r="J494" s="125"/>
      <c r="K494" s="113"/>
      <c r="L494" s="113"/>
      <c r="M494" s="113"/>
      <c r="N494" s="113"/>
    </row>
    <row r="495" spans="1:14" s="153" customFormat="1" ht="18" customHeight="1">
      <c r="A495" s="137" t="s">
        <v>59</v>
      </c>
      <c r="B495" s="115"/>
      <c r="C495" s="115">
        <v>189</v>
      </c>
      <c r="D495" s="116" t="s">
        <v>523</v>
      </c>
      <c r="E495" s="115"/>
      <c r="F495" s="115">
        <v>189</v>
      </c>
      <c r="G495" s="102" t="s">
        <v>535</v>
      </c>
      <c r="H495" s="118">
        <f t="shared" si="48"/>
        <v>0</v>
      </c>
      <c r="I495" s="154">
        <v>0</v>
      </c>
      <c r="J495" s="125"/>
      <c r="K495" s="113"/>
      <c r="L495" s="113"/>
      <c r="M495" s="113"/>
      <c r="N495" s="113"/>
    </row>
    <row r="496" spans="1:14" s="153" customFormat="1" ht="18" customHeight="1">
      <c r="A496" s="137" t="s">
        <v>60</v>
      </c>
      <c r="B496" s="115">
        <v>600</v>
      </c>
      <c r="C496" s="115" t="s">
        <v>10</v>
      </c>
      <c r="D496" s="115"/>
      <c r="E496" s="115"/>
      <c r="F496" s="115" t="s">
        <v>10</v>
      </c>
      <c r="G496" s="122"/>
      <c r="H496" s="155">
        <f t="shared" si="48"/>
        <v>0</v>
      </c>
      <c r="I496" s="156">
        <f>I343-I399</f>
        <v>0</v>
      </c>
      <c r="J496" s="156">
        <f>J343-J399</f>
        <v>0</v>
      </c>
      <c r="K496" s="156"/>
      <c r="L496" s="156"/>
      <c r="M496" s="156">
        <f>M343-M399</f>
        <v>0</v>
      </c>
      <c r="N496" s="120"/>
    </row>
    <row r="497" spans="1:14" s="153" customFormat="1" ht="18" customHeight="1">
      <c r="A497" s="137" t="s">
        <v>60</v>
      </c>
      <c r="B497" s="115">
        <v>600</v>
      </c>
      <c r="C497" s="115" t="s">
        <v>10</v>
      </c>
      <c r="D497" s="115"/>
      <c r="E497" s="115"/>
      <c r="F497" s="115" t="s">
        <v>10</v>
      </c>
      <c r="G497" s="122"/>
      <c r="H497" s="155">
        <f t="shared" si="48"/>
        <v>0</v>
      </c>
      <c r="I497" s="156">
        <f>I343-I399</f>
        <v>0</v>
      </c>
      <c r="J497" s="156">
        <f>J343-J399</f>
        <v>0</v>
      </c>
      <c r="K497" s="156"/>
      <c r="L497" s="156"/>
      <c r="M497" s="156">
        <f>M343-M399</f>
        <v>0</v>
      </c>
      <c r="N497" s="120"/>
    </row>
    <row r="498" spans="1:14" ht="15">
      <c r="A498" s="39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</sheetData>
  <sheetProtection/>
  <mergeCells count="53">
    <mergeCell ref="K340:K341"/>
    <mergeCell ref="L340:L341"/>
    <mergeCell ref="M340:N340"/>
    <mergeCell ref="L176:L177"/>
    <mergeCell ref="M176:N176"/>
    <mergeCell ref="H335:K335"/>
    <mergeCell ref="H336:K336"/>
    <mergeCell ref="H338:N338"/>
    <mergeCell ref="H339:H341"/>
    <mergeCell ref="I340:I341"/>
    <mergeCell ref="A338:A341"/>
    <mergeCell ref="B338:B341"/>
    <mergeCell ref="D338:D341"/>
    <mergeCell ref="E338:E341"/>
    <mergeCell ref="F338:F341"/>
    <mergeCell ref="G338:G341"/>
    <mergeCell ref="I339:N339"/>
    <mergeCell ref="H170:K170"/>
    <mergeCell ref="H171:K171"/>
    <mergeCell ref="H172:K172"/>
    <mergeCell ref="A174:A177"/>
    <mergeCell ref="B174:B177"/>
    <mergeCell ref="D174:D177"/>
    <mergeCell ref="E174:E177"/>
    <mergeCell ref="J176:J177"/>
    <mergeCell ref="F174:F177"/>
    <mergeCell ref="G174:G177"/>
    <mergeCell ref="H174:N174"/>
    <mergeCell ref="H175:H177"/>
    <mergeCell ref="K8:K9"/>
    <mergeCell ref="I175:N175"/>
    <mergeCell ref="I176:I177"/>
    <mergeCell ref="K176:K177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J340:J341"/>
    <mergeCell ref="C6:C9"/>
    <mergeCell ref="C174:C177"/>
    <mergeCell ref="C338:C341"/>
    <mergeCell ref="G6:G9"/>
    <mergeCell ref="H6:N6"/>
    <mergeCell ref="H7:H9"/>
    <mergeCell ref="M8:N8"/>
    <mergeCell ref="I7:N7"/>
    <mergeCell ref="I8:I9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65" r:id="rId1"/>
  <rowBreaks count="8" manualBreakCount="8">
    <brk id="56" max="13" man="1"/>
    <brk id="113" max="13" man="1"/>
    <brk id="168" max="13" man="1"/>
    <brk id="225" max="13" man="1"/>
    <brk id="278" max="13" man="1"/>
    <brk id="332" max="13" man="1"/>
    <brk id="386" max="13" man="1"/>
    <brk id="44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31">
      <selection activeCell="B35" sqref="B35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186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186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186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186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186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185">
        <v>901010000</v>
      </c>
      <c r="C7" s="60" t="s">
        <v>228</v>
      </c>
    </row>
    <row r="8" spans="2:3" ht="15">
      <c r="B8" s="185">
        <v>901020000</v>
      </c>
      <c r="C8" s="60" t="s">
        <v>229</v>
      </c>
    </row>
    <row r="9" spans="2:3" ht="15">
      <c r="B9" s="185">
        <v>901030000</v>
      </c>
      <c r="C9" s="60" t="s">
        <v>230</v>
      </c>
    </row>
    <row r="10" spans="2:3" ht="15">
      <c r="B10" s="185">
        <v>901040000</v>
      </c>
      <c r="C10" s="60" t="s">
        <v>231</v>
      </c>
    </row>
    <row r="11" spans="2:3" ht="15">
      <c r="B11" s="185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185">
        <v>901140000</v>
      </c>
      <c r="C15" s="60" t="s">
        <v>234</v>
      </c>
    </row>
    <row r="16" spans="2:3" ht="15">
      <c r="B16" s="185">
        <v>901150000</v>
      </c>
      <c r="C16" s="60" t="s">
        <v>235</v>
      </c>
    </row>
    <row r="17" spans="2:3" ht="15">
      <c r="B17" s="185">
        <v>901160000</v>
      </c>
      <c r="C17" s="60" t="s">
        <v>236</v>
      </c>
    </row>
    <row r="18" spans="2:3" ht="30">
      <c r="B18" s="185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2">
      <selection activeCell="J29" sqref="J29:J34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519</v>
      </c>
      <c r="G4" s="46"/>
    </row>
    <row r="5" ht="15.75">
      <c r="A5" s="30"/>
    </row>
    <row r="6" ht="15.75">
      <c r="A6" s="30"/>
    </row>
    <row r="7" spans="1:12" ht="15.75" customHeight="1">
      <c r="A7" s="453" t="s">
        <v>64</v>
      </c>
      <c r="B7" s="453" t="s">
        <v>45</v>
      </c>
      <c r="C7" s="453" t="s">
        <v>65</v>
      </c>
      <c r="D7" s="453" t="s">
        <v>66</v>
      </c>
      <c r="E7" s="453"/>
      <c r="F7" s="453"/>
      <c r="G7" s="453"/>
      <c r="H7" s="453"/>
      <c r="I7" s="453"/>
      <c r="J7" s="453"/>
      <c r="K7" s="453"/>
      <c r="L7" s="453"/>
    </row>
    <row r="8" spans="1:12" ht="15.75">
      <c r="A8" s="453"/>
      <c r="B8" s="453"/>
      <c r="C8" s="453"/>
      <c r="D8" s="453" t="s">
        <v>67</v>
      </c>
      <c r="E8" s="453"/>
      <c r="F8" s="453"/>
      <c r="G8" s="453"/>
      <c r="H8" s="453"/>
      <c r="I8" s="453"/>
      <c r="J8" s="453"/>
      <c r="K8" s="453"/>
      <c r="L8" s="453"/>
    </row>
    <row r="9" spans="1:12" ht="15.75">
      <c r="A9" s="453"/>
      <c r="B9" s="453"/>
      <c r="C9" s="453"/>
      <c r="D9" s="453" t="s">
        <v>68</v>
      </c>
      <c r="E9" s="453"/>
      <c r="F9" s="453"/>
      <c r="G9" s="453" t="s">
        <v>4</v>
      </c>
      <c r="H9" s="453"/>
      <c r="I9" s="453"/>
      <c r="J9" s="453"/>
      <c r="K9" s="453"/>
      <c r="L9" s="453"/>
    </row>
    <row r="10" spans="1:12" ht="47.25" customHeight="1">
      <c r="A10" s="453"/>
      <c r="B10" s="453"/>
      <c r="C10" s="453"/>
      <c r="D10" s="453"/>
      <c r="E10" s="453"/>
      <c r="F10" s="453"/>
      <c r="G10" s="453" t="s">
        <v>69</v>
      </c>
      <c r="H10" s="453"/>
      <c r="I10" s="453"/>
      <c r="J10" s="453" t="s">
        <v>70</v>
      </c>
      <c r="K10" s="453"/>
      <c r="L10" s="453"/>
    </row>
    <row r="11" spans="1:12" ht="50.25" customHeight="1">
      <c r="A11" s="453"/>
      <c r="B11" s="453"/>
      <c r="C11" s="453"/>
      <c r="D11" s="453"/>
      <c r="E11" s="453"/>
      <c r="F11" s="453"/>
      <c r="G11" s="454" t="s">
        <v>288</v>
      </c>
      <c r="H11" s="455"/>
      <c r="I11" s="456"/>
      <c r="J11" s="454" t="s">
        <v>71</v>
      </c>
      <c r="K11" s="455"/>
      <c r="L11" s="456"/>
    </row>
    <row r="12" spans="1:12" ht="78.75" customHeight="1">
      <c r="A12" s="453"/>
      <c r="B12" s="453"/>
      <c r="C12" s="453"/>
      <c r="D12" s="453"/>
      <c r="E12" s="453"/>
      <c r="F12" s="453"/>
      <c r="G12" s="457"/>
      <c r="H12" s="458"/>
      <c r="I12" s="459"/>
      <c r="J12" s="457"/>
      <c r="K12" s="458"/>
      <c r="L12" s="459"/>
    </row>
    <row r="13" spans="1:12" ht="15.75" customHeight="1">
      <c r="A13" s="453"/>
      <c r="B13" s="453"/>
      <c r="C13" s="453"/>
      <c r="D13" s="453" t="s">
        <v>426</v>
      </c>
      <c r="E13" s="453" t="s">
        <v>287</v>
      </c>
      <c r="F13" s="453" t="s">
        <v>427</v>
      </c>
      <c r="G13" s="453" t="s">
        <v>428</v>
      </c>
      <c r="H13" s="453" t="s">
        <v>287</v>
      </c>
      <c r="I13" s="48" t="s">
        <v>429</v>
      </c>
      <c r="J13" s="453" t="s">
        <v>426</v>
      </c>
      <c r="K13" s="453" t="s">
        <v>287</v>
      </c>
      <c r="L13" s="453" t="s">
        <v>427</v>
      </c>
    </row>
    <row r="14" spans="1:12" ht="47.25">
      <c r="A14" s="453"/>
      <c r="B14" s="453"/>
      <c r="C14" s="453"/>
      <c r="D14" s="453"/>
      <c r="E14" s="453"/>
      <c r="F14" s="453"/>
      <c r="G14" s="453"/>
      <c r="H14" s="453"/>
      <c r="I14" s="48" t="s">
        <v>72</v>
      </c>
      <c r="J14" s="453"/>
      <c r="K14" s="453"/>
      <c r="L14" s="453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466" t="s">
        <v>76</v>
      </c>
      <c r="C16" s="465" t="s">
        <v>74</v>
      </c>
      <c r="D16" s="467">
        <f aca="true" t="shared" si="0" ref="D16:L16">D29</f>
        <v>8999522.45</v>
      </c>
      <c r="E16" s="461">
        <f>K16</f>
        <v>9204226.74</v>
      </c>
      <c r="F16" s="461">
        <f>L16</f>
        <v>9214226.74</v>
      </c>
      <c r="G16" s="461">
        <f t="shared" si="0"/>
        <v>0</v>
      </c>
      <c r="H16" s="461">
        <f t="shared" si="0"/>
        <v>0</v>
      </c>
      <c r="I16" s="461">
        <f t="shared" si="0"/>
        <v>0</v>
      </c>
      <c r="J16" s="461">
        <f t="shared" si="0"/>
        <v>8999522.45</v>
      </c>
      <c r="K16" s="461">
        <f t="shared" si="0"/>
        <v>9204226.74</v>
      </c>
      <c r="L16" s="461">
        <f t="shared" si="0"/>
        <v>9214226.74</v>
      </c>
    </row>
    <row r="17" spans="1:12" ht="15.75">
      <c r="A17" s="33" t="s">
        <v>5</v>
      </c>
      <c r="B17" s="466"/>
      <c r="C17" s="465"/>
      <c r="D17" s="468"/>
      <c r="E17" s="462"/>
      <c r="F17" s="462"/>
      <c r="G17" s="462"/>
      <c r="H17" s="462"/>
      <c r="I17" s="462"/>
      <c r="J17" s="462"/>
      <c r="K17" s="462"/>
      <c r="L17" s="462"/>
    </row>
    <row r="18" spans="1:12" ht="15">
      <c r="A18" s="32"/>
      <c r="B18" s="466"/>
      <c r="C18" s="465"/>
      <c r="D18" s="468"/>
      <c r="E18" s="462"/>
      <c r="F18" s="462"/>
      <c r="G18" s="462"/>
      <c r="H18" s="462"/>
      <c r="I18" s="462"/>
      <c r="J18" s="462"/>
      <c r="K18" s="462"/>
      <c r="L18" s="462"/>
    </row>
    <row r="19" spans="1:12" ht="84.75" customHeight="1">
      <c r="A19" s="463" t="s">
        <v>75</v>
      </c>
      <c r="B19" s="465">
        <v>1001</v>
      </c>
      <c r="C19" s="465" t="s">
        <v>74</v>
      </c>
      <c r="D19" s="461">
        <v>0</v>
      </c>
      <c r="E19" s="461">
        <v>0</v>
      </c>
      <c r="F19" s="461">
        <v>0</v>
      </c>
      <c r="G19" s="461">
        <v>0</v>
      </c>
      <c r="H19" s="461">
        <v>0</v>
      </c>
      <c r="I19" s="461">
        <v>0</v>
      </c>
      <c r="J19" s="461">
        <v>0</v>
      </c>
      <c r="K19" s="461">
        <v>0</v>
      </c>
      <c r="L19" s="461">
        <v>0</v>
      </c>
    </row>
    <row r="20" spans="1:12" ht="15" customHeight="1">
      <c r="A20" s="464"/>
      <c r="B20" s="465"/>
      <c r="C20" s="465"/>
      <c r="D20" s="461"/>
      <c r="E20" s="461"/>
      <c r="F20" s="461"/>
      <c r="G20" s="461"/>
      <c r="H20" s="461"/>
      <c r="I20" s="461"/>
      <c r="J20" s="461"/>
      <c r="K20" s="461"/>
      <c r="L20" s="461"/>
    </row>
    <row r="21" spans="1:12" ht="15" customHeight="1">
      <c r="A21" s="464"/>
      <c r="B21" s="465"/>
      <c r="C21" s="465"/>
      <c r="D21" s="461"/>
      <c r="E21" s="461"/>
      <c r="F21" s="461"/>
      <c r="G21" s="461"/>
      <c r="H21" s="461"/>
      <c r="I21" s="461"/>
      <c r="J21" s="461"/>
      <c r="K21" s="461"/>
      <c r="L21" s="461"/>
    </row>
    <row r="22" spans="1:12" ht="15" customHeight="1">
      <c r="A22" s="464"/>
      <c r="B22" s="465"/>
      <c r="C22" s="465"/>
      <c r="D22" s="461"/>
      <c r="E22" s="461"/>
      <c r="F22" s="461"/>
      <c r="G22" s="461"/>
      <c r="H22" s="461"/>
      <c r="I22" s="461"/>
      <c r="J22" s="461"/>
      <c r="K22" s="461"/>
      <c r="L22" s="461"/>
    </row>
    <row r="23" spans="1:12" ht="9.75" customHeight="1">
      <c r="A23" s="464"/>
      <c r="B23" s="465"/>
      <c r="C23" s="465"/>
      <c r="D23" s="461"/>
      <c r="E23" s="461"/>
      <c r="F23" s="461"/>
      <c r="G23" s="461"/>
      <c r="H23" s="461"/>
      <c r="I23" s="461"/>
      <c r="J23" s="461"/>
      <c r="K23" s="461"/>
      <c r="L23" s="461"/>
    </row>
    <row r="24" spans="1:12" ht="15" customHeight="1" hidden="1">
      <c r="A24" s="464"/>
      <c r="B24" s="465"/>
      <c r="C24" s="465"/>
      <c r="D24" s="461"/>
      <c r="E24" s="461"/>
      <c r="F24" s="461"/>
      <c r="G24" s="461"/>
      <c r="H24" s="461"/>
      <c r="I24" s="461"/>
      <c r="J24" s="461"/>
      <c r="K24" s="461"/>
      <c r="L24" s="461"/>
    </row>
    <row r="25" spans="1:12" ht="15" customHeight="1" hidden="1">
      <c r="A25" s="464"/>
      <c r="B25" s="465"/>
      <c r="C25" s="465"/>
      <c r="D25" s="461"/>
      <c r="E25" s="461"/>
      <c r="F25" s="461"/>
      <c r="G25" s="461"/>
      <c r="H25" s="461"/>
      <c r="I25" s="461"/>
      <c r="J25" s="461"/>
      <c r="K25" s="461"/>
      <c r="L25" s="461"/>
    </row>
    <row r="26" spans="1:12" ht="15" customHeight="1" hidden="1">
      <c r="A26" s="464"/>
      <c r="B26" s="465"/>
      <c r="C26" s="465"/>
      <c r="D26" s="461"/>
      <c r="E26" s="461"/>
      <c r="F26" s="461"/>
      <c r="G26" s="461"/>
      <c r="H26" s="461"/>
      <c r="I26" s="461"/>
      <c r="J26" s="461"/>
      <c r="K26" s="461"/>
      <c r="L26" s="461"/>
    </row>
    <row r="27" spans="1:12" ht="15" customHeight="1" hidden="1">
      <c r="A27" s="464"/>
      <c r="B27" s="465"/>
      <c r="C27" s="465"/>
      <c r="D27" s="461"/>
      <c r="E27" s="461"/>
      <c r="F27" s="461"/>
      <c r="G27" s="461"/>
      <c r="H27" s="461"/>
      <c r="I27" s="461"/>
      <c r="J27" s="461"/>
      <c r="K27" s="461"/>
      <c r="L27" s="461"/>
    </row>
    <row r="28" spans="1:12" ht="15" customHeight="1" hidden="1">
      <c r="A28" s="464"/>
      <c r="B28" s="465"/>
      <c r="C28" s="465"/>
      <c r="D28" s="461"/>
      <c r="E28" s="461"/>
      <c r="F28" s="461"/>
      <c r="G28" s="461"/>
      <c r="H28" s="461"/>
      <c r="I28" s="461"/>
      <c r="J28" s="461"/>
      <c r="K28" s="461"/>
      <c r="L28" s="461"/>
    </row>
    <row r="29" spans="1:12" ht="50.25" customHeight="1">
      <c r="A29" s="464" t="s">
        <v>401</v>
      </c>
      <c r="B29" s="465">
        <v>2001</v>
      </c>
      <c r="C29" s="464"/>
      <c r="D29" s="469">
        <f>J29</f>
        <v>8999522.45</v>
      </c>
      <c r="E29" s="469">
        <v>0</v>
      </c>
      <c r="F29" s="469">
        <v>0</v>
      </c>
      <c r="G29" s="469">
        <v>0</v>
      </c>
      <c r="H29" s="469">
        <v>0</v>
      </c>
      <c r="I29" s="469">
        <v>0</v>
      </c>
      <c r="J29" s="469">
        <f>'раздел 3 (табл.2,3,4)'!H115</f>
        <v>8999522.45</v>
      </c>
      <c r="K29" s="469">
        <f>'раздел 3 (табл.2,3,4)'!H279</f>
        <v>9204226.74</v>
      </c>
      <c r="L29" s="469">
        <f>'раздел 3 (табл.2,3,4)'!H443</f>
        <v>9214226.74</v>
      </c>
    </row>
    <row r="30" spans="1:12" ht="15">
      <c r="A30" s="464"/>
      <c r="B30" s="465"/>
      <c r="C30" s="464"/>
      <c r="D30" s="469"/>
      <c r="E30" s="469"/>
      <c r="F30" s="469"/>
      <c r="G30" s="469"/>
      <c r="H30" s="469"/>
      <c r="I30" s="469"/>
      <c r="J30" s="469"/>
      <c r="K30" s="469"/>
      <c r="L30" s="469"/>
    </row>
    <row r="31" spans="1:12" ht="1.5" customHeight="1">
      <c r="A31" s="464"/>
      <c r="B31" s="465"/>
      <c r="C31" s="464"/>
      <c r="D31" s="469"/>
      <c r="E31" s="469"/>
      <c r="F31" s="469"/>
      <c r="G31" s="469"/>
      <c r="H31" s="469"/>
      <c r="I31" s="469"/>
      <c r="J31" s="469"/>
      <c r="K31" s="469"/>
      <c r="L31" s="469"/>
    </row>
    <row r="32" spans="1:12" ht="15">
      <c r="A32" s="464"/>
      <c r="B32" s="465"/>
      <c r="C32" s="464"/>
      <c r="D32" s="469"/>
      <c r="E32" s="469"/>
      <c r="F32" s="469"/>
      <c r="G32" s="469"/>
      <c r="H32" s="469"/>
      <c r="I32" s="469"/>
      <c r="J32" s="469"/>
      <c r="K32" s="469"/>
      <c r="L32" s="469"/>
    </row>
    <row r="33" spans="1:12" ht="15">
      <c r="A33" s="464"/>
      <c r="B33" s="465"/>
      <c r="C33" s="464"/>
      <c r="D33" s="469"/>
      <c r="E33" s="469"/>
      <c r="F33" s="469"/>
      <c r="G33" s="469"/>
      <c r="H33" s="469"/>
      <c r="I33" s="469"/>
      <c r="J33" s="469"/>
      <c r="K33" s="469"/>
      <c r="L33" s="469"/>
    </row>
    <row r="34" spans="1:12" ht="15">
      <c r="A34" s="464"/>
      <c r="B34" s="465"/>
      <c r="C34" s="464"/>
      <c r="D34" s="469"/>
      <c r="E34" s="469"/>
      <c r="F34" s="469"/>
      <c r="G34" s="469"/>
      <c r="H34" s="469"/>
      <c r="I34" s="469"/>
      <c r="J34" s="469"/>
      <c r="K34" s="469"/>
      <c r="L34" s="469"/>
    </row>
    <row r="36" ht="18.75">
      <c r="A36" s="34" t="s">
        <v>78</v>
      </c>
    </row>
    <row r="37" spans="1:12" ht="82.5" customHeight="1">
      <c r="A37" s="460" t="s">
        <v>289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</row>
    <row r="38" spans="1:12" ht="103.5" customHeight="1">
      <c r="A38" s="460" t="s">
        <v>290</v>
      </c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460" t="s">
        <v>295</v>
      </c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</row>
    <row r="48" spans="1:12" s="62" customFormat="1" ht="31.5" customHeight="1">
      <c r="A48" s="460" t="s">
        <v>402</v>
      </c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</row>
  </sheetData>
  <sheetProtection/>
  <mergeCells count="58"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518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453" t="s">
        <v>1</v>
      </c>
      <c r="B8" s="26" t="s">
        <v>86</v>
      </c>
      <c r="C8" s="453" t="s">
        <v>88</v>
      </c>
    </row>
    <row r="9" spans="1:3" ht="15.75">
      <c r="A9" s="453"/>
      <c r="B9" s="26" t="s">
        <v>87</v>
      </c>
      <c r="C9" s="453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5">
        <v>0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470" t="s">
        <v>407</v>
      </c>
      <c r="B18" s="470"/>
      <c r="C18" s="470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470"/>
      <c r="B19" s="470"/>
      <c r="C19" s="470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470"/>
      <c r="B20" s="470"/>
      <c r="C20" s="470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470"/>
      <c r="B21" s="470"/>
      <c r="C21" s="470"/>
      <c r="D21" s="70"/>
    </row>
    <row r="22" spans="1:4" ht="15" customHeight="1">
      <c r="A22" s="470"/>
      <c r="B22" s="470"/>
      <c r="C22" s="470"/>
      <c r="D22" s="70"/>
    </row>
    <row r="23" spans="1:4" ht="15" customHeight="1">
      <c r="A23" s="470"/>
      <c r="B23" s="470"/>
      <c r="C23" s="470"/>
      <c r="D23" s="70"/>
    </row>
    <row r="24" spans="1:4" ht="30.75" customHeight="1">
      <c r="A24" s="470"/>
      <c r="B24" s="470"/>
      <c r="C24" s="470"/>
      <c r="D24" s="70"/>
    </row>
    <row r="25" spans="1:3" ht="15">
      <c r="A25" s="470"/>
      <c r="B25" s="470"/>
      <c r="C25" s="470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471" t="s">
        <v>404</v>
      </c>
      <c r="C13" s="469">
        <v>0</v>
      </c>
    </row>
    <row r="14" spans="1:3" ht="56.25" customHeight="1">
      <c r="A14" s="25" t="s">
        <v>98</v>
      </c>
      <c r="B14" s="471"/>
      <c r="C14" s="469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spans="1:3" ht="15.75">
      <c r="A27" s="28" t="s">
        <v>100</v>
      </c>
      <c r="C27" t="s">
        <v>540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3" ht="15.75">
      <c r="A31" s="43"/>
      <c r="B31" s="44"/>
      <c r="C31" t="s">
        <v>540</v>
      </c>
    </row>
    <row r="32" ht="15.75">
      <c r="A32" s="28" t="s">
        <v>104</v>
      </c>
    </row>
    <row r="33" ht="15.75">
      <c r="A33" s="28"/>
    </row>
    <row r="34" ht="15.75">
      <c r="A34" s="43" t="s">
        <v>541</v>
      </c>
    </row>
    <row r="35" ht="15.75">
      <c r="A35" s="28"/>
    </row>
    <row r="36" ht="15.75">
      <c r="A36" s="184">
        <v>43511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262"/>
  <sheetViews>
    <sheetView view="pageBreakPreview" zoomScale="60" zoomScalePageLayoutView="0" workbookViewId="0" topLeftCell="A115">
      <selection activeCell="A239" sqref="A239:K239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0.7109375" style="187" customWidth="1"/>
    <col min="6" max="6" width="20.8515625" style="187" customWidth="1"/>
    <col min="7" max="7" width="21.28125" style="187" customWidth="1"/>
    <col min="8" max="8" width="18.42187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6384" width="9.140625" style="187" customWidth="1"/>
  </cols>
  <sheetData>
    <row r="1" spans="5:6" ht="15.75" customHeight="1">
      <c r="E1" s="558"/>
      <c r="F1" s="558"/>
    </row>
    <row r="2" spans="1:26" s="191" customFormat="1" ht="40.5" customHeight="1">
      <c r="A2" s="559" t="s">
        <v>544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60"/>
      <c r="C3" s="560"/>
      <c r="D3" s="560"/>
      <c r="E3" s="560"/>
      <c r="F3" s="560"/>
      <c r="G3" s="560"/>
      <c r="H3" s="560"/>
      <c r="I3" s="56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61" t="s">
        <v>545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</row>
    <row r="5" spans="2:31" ht="15.75" customHeight="1">
      <c r="B5" s="187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2:31" ht="15.75" customHeight="1">
      <c r="B6" s="195" t="s">
        <v>546</v>
      </c>
      <c r="C6" s="195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2:31" ht="15.75" customHeight="1">
      <c r="B7" s="187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2:31" ht="15.75" customHeight="1">
      <c r="B8" s="195" t="s">
        <v>547</v>
      </c>
      <c r="C8" s="195"/>
      <c r="D8" s="195" t="s">
        <v>548</v>
      </c>
      <c r="E8" s="195"/>
      <c r="F8" s="195"/>
      <c r="G8" s="195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2:31" ht="15.75" customHeight="1">
      <c r="B9" s="187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2:31" ht="15.75" customHeight="1">
      <c r="B10" s="196" t="s">
        <v>549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2:31" ht="15.75" customHeight="1">
      <c r="B11" s="187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83" ht="48" customHeight="1">
      <c r="A12" s="562" t="s">
        <v>550</v>
      </c>
      <c r="B12" s="563" t="s">
        <v>551</v>
      </c>
      <c r="C12" s="563" t="s">
        <v>552</v>
      </c>
      <c r="D12" s="566" t="s">
        <v>553</v>
      </c>
      <c r="E12" s="567"/>
      <c r="F12" s="567"/>
      <c r="G12" s="568"/>
      <c r="H12" s="548" t="s">
        <v>554</v>
      </c>
      <c r="I12" s="548" t="s">
        <v>555</v>
      </c>
      <c r="J12" s="548" t="s">
        <v>556</v>
      </c>
      <c r="K12" s="551" t="s">
        <v>557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4"/>
      <c r="BY12" s="194"/>
      <c r="BZ12" s="194"/>
      <c r="CA12" s="194"/>
      <c r="CB12" s="194"/>
      <c r="CC12" s="194"/>
      <c r="CD12" s="194"/>
      <c r="CE12" s="194"/>
    </row>
    <row r="13" spans="1:73" ht="15.75" customHeight="1">
      <c r="A13" s="562"/>
      <c r="B13" s="564"/>
      <c r="C13" s="564"/>
      <c r="D13" s="198" t="s">
        <v>36</v>
      </c>
      <c r="E13" s="552" t="s">
        <v>4</v>
      </c>
      <c r="F13" s="553"/>
      <c r="G13" s="553"/>
      <c r="H13" s="549"/>
      <c r="I13" s="549"/>
      <c r="J13" s="549"/>
      <c r="K13" s="551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</row>
    <row r="14" spans="1:31" ht="46.5" customHeight="1">
      <c r="A14" s="562"/>
      <c r="B14" s="565"/>
      <c r="C14" s="565"/>
      <c r="D14" s="200"/>
      <c r="E14" s="201" t="s">
        <v>558</v>
      </c>
      <c r="F14" s="201" t="s">
        <v>559</v>
      </c>
      <c r="G14" s="199" t="s">
        <v>560</v>
      </c>
      <c r="H14" s="550"/>
      <c r="I14" s="550"/>
      <c r="J14" s="550"/>
      <c r="K14" s="551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4"/>
      <c r="AB14" s="194"/>
      <c r="AC14" s="194"/>
      <c r="AD14" s="194"/>
      <c r="AE14" s="194"/>
    </row>
    <row r="15" spans="1:31" ht="15.75" customHeight="1">
      <c r="A15" s="202">
        <v>1</v>
      </c>
      <c r="B15" s="203">
        <v>2</v>
      </c>
      <c r="C15" s="203">
        <v>3</v>
      </c>
      <c r="D15" s="204">
        <v>4</v>
      </c>
      <c r="E15" s="205">
        <v>5</v>
      </c>
      <c r="F15" s="206">
        <v>6</v>
      </c>
      <c r="G15" s="203">
        <v>7</v>
      </c>
      <c r="H15" s="203">
        <v>8</v>
      </c>
      <c r="I15" s="203">
        <v>9</v>
      </c>
      <c r="J15" s="206">
        <v>10</v>
      </c>
      <c r="K15" s="206">
        <v>11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94"/>
      <c r="AB15" s="194"/>
      <c r="AC15" s="194"/>
      <c r="AD15" s="194"/>
      <c r="AE15" s="194"/>
    </row>
    <row r="16" spans="1:31" ht="15.75" customHeight="1">
      <c r="A16" s="208"/>
      <c r="B16" s="209" t="s">
        <v>561</v>
      </c>
      <c r="C16" s="210">
        <v>4</v>
      </c>
      <c r="D16" s="210">
        <f>SUM(E16:G16)</f>
        <v>34940.35</v>
      </c>
      <c r="E16" s="211">
        <v>16110</v>
      </c>
      <c r="F16" s="211">
        <v>0</v>
      </c>
      <c r="G16" s="210">
        <v>18830.35</v>
      </c>
      <c r="H16" s="210">
        <v>0</v>
      </c>
      <c r="I16" s="210">
        <v>1.15</v>
      </c>
      <c r="J16" s="212">
        <f>(C16*D16*(1+H16/100)*I16*12)</f>
        <v>1928707.3199999998</v>
      </c>
      <c r="K16" s="213" t="s">
        <v>562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194"/>
      <c r="AB16" s="194"/>
      <c r="AC16" s="194"/>
      <c r="AD16" s="194"/>
      <c r="AE16" s="194"/>
    </row>
    <row r="17" spans="1:31" ht="15.75" customHeight="1">
      <c r="A17" s="208"/>
      <c r="B17" s="209" t="s">
        <v>563</v>
      </c>
      <c r="C17" s="210">
        <v>3</v>
      </c>
      <c r="D17" s="210">
        <f>SUM(E17:G17)</f>
        <v>23385</v>
      </c>
      <c r="E17" s="211">
        <v>7000</v>
      </c>
      <c r="F17" s="211">
        <v>0</v>
      </c>
      <c r="G17" s="210">
        <f>21385-5000</f>
        <v>16385</v>
      </c>
      <c r="H17" s="210">
        <v>0</v>
      </c>
      <c r="I17" s="210">
        <v>1.15</v>
      </c>
      <c r="J17" s="212">
        <f>(C17*D17*(1+H17/100)*I17*12)</f>
        <v>968139</v>
      </c>
      <c r="K17" s="213" t="s">
        <v>562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194"/>
      <c r="AB17" s="194"/>
      <c r="AC17" s="194"/>
      <c r="AD17" s="194"/>
      <c r="AE17" s="194"/>
    </row>
    <row r="18" spans="1:31" ht="15.75" customHeight="1">
      <c r="A18" s="208"/>
      <c r="B18" s="209" t="s">
        <v>564</v>
      </c>
      <c r="C18" s="210">
        <v>44</v>
      </c>
      <c r="D18" s="210">
        <f>SUM(E18:G18)</f>
        <v>20118</v>
      </c>
      <c r="E18" s="211">
        <v>7000</v>
      </c>
      <c r="F18" s="211">
        <v>0</v>
      </c>
      <c r="G18" s="210">
        <v>13118</v>
      </c>
      <c r="H18" s="210">
        <v>0</v>
      </c>
      <c r="I18" s="210">
        <v>1.15</v>
      </c>
      <c r="J18" s="212">
        <f>(C18*D18*(1+H18/100)*I18*12)</f>
        <v>12215649.6</v>
      </c>
      <c r="K18" s="213" t="s">
        <v>562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194"/>
      <c r="AB18" s="194"/>
      <c r="AC18" s="194"/>
      <c r="AD18" s="194"/>
      <c r="AE18" s="194"/>
    </row>
    <row r="19" spans="1:31" ht="15.75" customHeight="1">
      <c r="A19" s="208"/>
      <c r="B19" s="209" t="s">
        <v>565</v>
      </c>
      <c r="C19" s="210">
        <v>4</v>
      </c>
      <c r="D19" s="210">
        <f>SUM(E19:G19)</f>
        <v>21882.25</v>
      </c>
      <c r="E19" s="211">
        <v>5880</v>
      </c>
      <c r="F19" s="211">
        <v>0</v>
      </c>
      <c r="G19" s="210">
        <v>16002.25</v>
      </c>
      <c r="H19" s="210">
        <v>0</v>
      </c>
      <c r="I19" s="210">
        <v>1.15</v>
      </c>
      <c r="J19" s="212">
        <f>(C19*D19*(1+H19/100)*I19*12)</f>
        <v>1207900.2</v>
      </c>
      <c r="K19" s="213" t="s">
        <v>562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194"/>
      <c r="AB19" s="194"/>
      <c r="AC19" s="194"/>
      <c r="AD19" s="194"/>
      <c r="AE19" s="194"/>
    </row>
    <row r="20" spans="1:31" ht="15.75" customHeight="1">
      <c r="A20" s="208"/>
      <c r="B20" s="215" t="s">
        <v>566</v>
      </c>
      <c r="C20" s="210" t="s">
        <v>567</v>
      </c>
      <c r="D20" s="210"/>
      <c r="E20" s="211" t="s">
        <v>567</v>
      </c>
      <c r="F20" s="211" t="s">
        <v>567</v>
      </c>
      <c r="G20" s="210" t="s">
        <v>567</v>
      </c>
      <c r="H20" s="210" t="s">
        <v>567</v>
      </c>
      <c r="I20" s="210" t="s">
        <v>567</v>
      </c>
      <c r="J20" s="216">
        <f>SUM(J16:J19)</f>
        <v>16320396.12</v>
      </c>
      <c r="K20" s="205" t="s">
        <v>567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194"/>
      <c r="AB20" s="194"/>
      <c r="AC20" s="194"/>
      <c r="AD20" s="194"/>
      <c r="AE20" s="194"/>
    </row>
    <row r="21" spans="1:31" ht="15.75" customHeight="1">
      <c r="A21" s="208"/>
      <c r="B21" s="209" t="s">
        <v>561</v>
      </c>
      <c r="C21" s="204"/>
      <c r="D21" s="204"/>
      <c r="E21" s="205"/>
      <c r="F21" s="205"/>
      <c r="G21" s="217"/>
      <c r="H21" s="217"/>
      <c r="I21" s="217"/>
      <c r="J21" s="205">
        <f>(C21*D21*(1+H21/100)*I21*12)</f>
        <v>0</v>
      </c>
      <c r="K21" s="213" t="s">
        <v>568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194"/>
      <c r="AB21" s="194"/>
      <c r="AC21" s="194"/>
      <c r="AD21" s="194"/>
      <c r="AE21" s="194"/>
    </row>
    <row r="22" spans="1:31" ht="15.75" customHeight="1">
      <c r="A22" s="208"/>
      <c r="B22" s="209" t="s">
        <v>563</v>
      </c>
      <c r="C22" s="204"/>
      <c r="D22" s="204"/>
      <c r="E22" s="205"/>
      <c r="F22" s="205"/>
      <c r="G22" s="217"/>
      <c r="H22" s="217"/>
      <c r="I22" s="217"/>
      <c r="J22" s="205">
        <f>(C22*D22*(1+H22/100)*I22*12)</f>
        <v>0</v>
      </c>
      <c r="K22" s="213" t="s">
        <v>568</v>
      </c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194"/>
      <c r="AB22" s="194"/>
      <c r="AC22" s="194"/>
      <c r="AD22" s="194"/>
      <c r="AE22" s="194"/>
    </row>
    <row r="23" spans="1:31" ht="15.75" customHeight="1">
      <c r="A23" s="208"/>
      <c r="B23" s="209" t="s">
        <v>564</v>
      </c>
      <c r="C23" s="204"/>
      <c r="D23" s="204"/>
      <c r="E23" s="205"/>
      <c r="F23" s="205"/>
      <c r="G23" s="217"/>
      <c r="H23" s="217"/>
      <c r="I23" s="217"/>
      <c r="J23" s="205">
        <f>(C23*D23*(1+H23/100)*I23*12)</f>
        <v>0</v>
      </c>
      <c r="K23" s="213" t="s">
        <v>568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194"/>
      <c r="AB23" s="194"/>
      <c r="AC23" s="194"/>
      <c r="AD23" s="194"/>
      <c r="AE23" s="194"/>
    </row>
    <row r="24" spans="1:31" ht="15.75" customHeight="1">
      <c r="A24" s="208"/>
      <c r="B24" s="209" t="s">
        <v>565</v>
      </c>
      <c r="C24" s="204"/>
      <c r="D24" s="204"/>
      <c r="E24" s="205"/>
      <c r="F24" s="205"/>
      <c r="G24" s="217"/>
      <c r="H24" s="217"/>
      <c r="I24" s="217"/>
      <c r="J24" s="205">
        <f>(C24*D24*(1+H24/100)*I24*12)</f>
        <v>0</v>
      </c>
      <c r="K24" s="213" t="s">
        <v>568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94"/>
      <c r="AB24" s="194"/>
      <c r="AC24" s="194"/>
      <c r="AD24" s="194"/>
      <c r="AE24" s="194"/>
    </row>
    <row r="25" spans="1:31" ht="15.75" customHeight="1">
      <c r="A25" s="208"/>
      <c r="B25" s="215" t="s">
        <v>566</v>
      </c>
      <c r="C25" s="204" t="s">
        <v>567</v>
      </c>
      <c r="D25" s="204"/>
      <c r="E25" s="205" t="s">
        <v>567</v>
      </c>
      <c r="F25" s="205" t="s">
        <v>567</v>
      </c>
      <c r="G25" s="217" t="s">
        <v>567</v>
      </c>
      <c r="H25" s="217" t="s">
        <v>567</v>
      </c>
      <c r="I25" s="217" t="s">
        <v>567</v>
      </c>
      <c r="J25" s="205">
        <f>SUM(J21:J24)</f>
        <v>0</v>
      </c>
      <c r="K25" s="205" t="s">
        <v>567</v>
      </c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</row>
    <row r="26" spans="1:11" ht="15.75" customHeight="1">
      <c r="A26" s="554" t="s">
        <v>566</v>
      </c>
      <c r="B26" s="555"/>
      <c r="C26" s="218">
        <f>SUM(C16:C25)</f>
        <v>55</v>
      </c>
      <c r="D26" s="219"/>
      <c r="E26" s="219"/>
      <c r="F26" s="219"/>
      <c r="G26" s="219"/>
      <c r="H26" s="219"/>
      <c r="I26" s="219"/>
      <c r="J26" s="220">
        <f>J20+J25</f>
        <v>16320396.12</v>
      </c>
      <c r="K26" s="221"/>
    </row>
    <row r="27" spans="1:11" ht="15.75" customHeight="1">
      <c r="A27" s="194"/>
      <c r="B27" s="222"/>
      <c r="C27" s="223"/>
      <c r="D27" s="222"/>
      <c r="E27" s="222"/>
      <c r="F27" s="222"/>
      <c r="G27" s="222"/>
      <c r="H27" s="222"/>
      <c r="I27" s="222"/>
      <c r="J27" s="224"/>
      <c r="K27" s="225"/>
    </row>
    <row r="28" spans="1:11" ht="208.5" customHeight="1">
      <c r="A28" s="556" t="s">
        <v>569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</row>
    <row r="29" spans="2:11" ht="15.75" customHeight="1">
      <c r="B29" s="557"/>
      <c r="C29" s="557"/>
      <c r="D29" s="557"/>
      <c r="E29" s="557"/>
      <c r="F29" s="557"/>
      <c r="G29" s="557"/>
      <c r="H29" s="557"/>
      <c r="I29" s="557"/>
      <c r="J29" s="557"/>
      <c r="K29" s="557"/>
    </row>
    <row r="30" spans="2:9" ht="21" customHeight="1">
      <c r="B30" s="547" t="s">
        <v>570</v>
      </c>
      <c r="C30" s="547"/>
      <c r="D30" s="547"/>
      <c r="E30" s="547"/>
      <c r="F30" s="547"/>
      <c r="G30" s="547"/>
      <c r="H30" s="547"/>
      <c r="I30" s="547"/>
    </row>
    <row r="32" spans="1:9" ht="26.25" customHeight="1">
      <c r="A32" s="487" t="s">
        <v>550</v>
      </c>
      <c r="B32" s="489" t="s">
        <v>571</v>
      </c>
      <c r="C32" s="489" t="s">
        <v>572</v>
      </c>
      <c r="D32" s="489" t="s">
        <v>573</v>
      </c>
      <c r="E32" s="489" t="s">
        <v>574</v>
      </c>
      <c r="F32" s="535" t="s">
        <v>575</v>
      </c>
      <c r="G32" s="536"/>
      <c r="H32" s="537"/>
      <c r="I32" s="228"/>
    </row>
    <row r="33" spans="1:9" ht="39.75" customHeight="1">
      <c r="A33" s="488"/>
      <c r="B33" s="490"/>
      <c r="C33" s="490"/>
      <c r="D33" s="490"/>
      <c r="E33" s="490"/>
      <c r="F33" s="229" t="s">
        <v>33</v>
      </c>
      <c r="G33" s="227" t="s">
        <v>562</v>
      </c>
      <c r="H33" s="229" t="s">
        <v>568</v>
      </c>
      <c r="I33" s="230"/>
    </row>
    <row r="34" spans="1:9" ht="15.75">
      <c r="A34" s="208">
        <v>1</v>
      </c>
      <c r="B34" s="231">
        <v>2</v>
      </c>
      <c r="C34" s="231">
        <v>3</v>
      </c>
      <c r="D34" s="231">
        <v>4</v>
      </c>
      <c r="E34" s="231">
        <v>5</v>
      </c>
      <c r="F34" s="231">
        <v>6</v>
      </c>
      <c r="G34" s="232">
        <v>7</v>
      </c>
      <c r="H34" s="231">
        <v>8</v>
      </c>
      <c r="I34" s="233"/>
    </row>
    <row r="35" spans="1:9" ht="15.75">
      <c r="A35" s="208"/>
      <c r="B35" s="202"/>
      <c r="C35" s="208"/>
      <c r="D35" s="208"/>
      <c r="E35" s="208"/>
      <c r="F35" s="234"/>
      <c r="G35" s="235"/>
      <c r="H35" s="234"/>
      <c r="I35" s="194"/>
    </row>
    <row r="36" spans="1:9" ht="15.75">
      <c r="A36" s="208"/>
      <c r="B36" s="202"/>
      <c r="C36" s="208"/>
      <c r="D36" s="208"/>
      <c r="E36" s="208"/>
      <c r="F36" s="208"/>
      <c r="G36" s="235"/>
      <c r="H36" s="234"/>
      <c r="I36" s="194"/>
    </row>
    <row r="37" spans="1:9" ht="15.75">
      <c r="A37" s="478" t="s">
        <v>576</v>
      </c>
      <c r="B37" s="480"/>
      <c r="C37" s="202" t="s">
        <v>567</v>
      </c>
      <c r="D37" s="202" t="s">
        <v>567</v>
      </c>
      <c r="E37" s="202" t="s">
        <v>567</v>
      </c>
      <c r="F37" s="208"/>
      <c r="G37" s="235"/>
      <c r="H37" s="234"/>
      <c r="I37" s="194"/>
    </row>
    <row r="39" spans="2:6" ht="15.75">
      <c r="B39" s="546" t="s">
        <v>577</v>
      </c>
      <c r="C39" s="546"/>
      <c r="D39" s="546"/>
      <c r="E39" s="546"/>
      <c r="F39" s="546"/>
    </row>
    <row r="41" spans="1:9" ht="26.25" customHeight="1">
      <c r="A41" s="487" t="s">
        <v>550</v>
      </c>
      <c r="B41" s="489" t="s">
        <v>571</v>
      </c>
      <c r="C41" s="489" t="s">
        <v>578</v>
      </c>
      <c r="D41" s="489" t="s">
        <v>579</v>
      </c>
      <c r="E41" s="489" t="s">
        <v>580</v>
      </c>
      <c r="F41" s="491" t="s">
        <v>575</v>
      </c>
      <c r="G41" s="491"/>
      <c r="H41" s="491"/>
      <c r="I41" s="228"/>
    </row>
    <row r="42" spans="1:9" ht="51" customHeight="1">
      <c r="A42" s="488"/>
      <c r="B42" s="490"/>
      <c r="C42" s="490"/>
      <c r="D42" s="490"/>
      <c r="E42" s="490"/>
      <c r="F42" s="229" t="s">
        <v>33</v>
      </c>
      <c r="G42" s="229" t="s">
        <v>562</v>
      </c>
      <c r="H42" s="229" t="s">
        <v>568</v>
      </c>
      <c r="I42" s="230"/>
    </row>
    <row r="43" spans="1:9" ht="15.75">
      <c r="A43" s="208">
        <v>1</v>
      </c>
      <c r="B43" s="231">
        <v>2</v>
      </c>
      <c r="C43" s="231">
        <v>3</v>
      </c>
      <c r="D43" s="231">
        <v>4</v>
      </c>
      <c r="E43" s="231">
        <v>5</v>
      </c>
      <c r="F43" s="231">
        <v>6</v>
      </c>
      <c r="G43" s="231">
        <v>7</v>
      </c>
      <c r="H43" s="231">
        <v>8</v>
      </c>
      <c r="I43" s="233"/>
    </row>
    <row r="44" spans="1:9" ht="15.75">
      <c r="A44" s="208"/>
      <c r="B44" s="202"/>
      <c r="C44" s="208"/>
      <c r="D44" s="208"/>
      <c r="E44" s="208"/>
      <c r="F44" s="234"/>
      <c r="G44" s="234"/>
      <c r="H44" s="234"/>
      <c r="I44" s="194"/>
    </row>
    <row r="45" spans="1:9" ht="15.75">
      <c r="A45" s="208"/>
      <c r="B45" s="202"/>
      <c r="C45" s="208"/>
      <c r="D45" s="208"/>
      <c r="E45" s="208"/>
      <c r="F45" s="208"/>
      <c r="G45" s="234"/>
      <c r="H45" s="234"/>
      <c r="I45" s="194"/>
    </row>
    <row r="46" spans="1:9" ht="15.75">
      <c r="A46" s="478" t="s">
        <v>576</v>
      </c>
      <c r="B46" s="480"/>
      <c r="C46" s="202" t="s">
        <v>567</v>
      </c>
      <c r="D46" s="202" t="s">
        <v>567</v>
      </c>
      <c r="E46" s="202" t="s">
        <v>567</v>
      </c>
      <c r="F46" s="208"/>
      <c r="G46" s="234"/>
      <c r="H46" s="234"/>
      <c r="I46" s="194"/>
    </row>
    <row r="48" spans="2:9" ht="33" customHeight="1">
      <c r="B48" s="545" t="s">
        <v>581</v>
      </c>
      <c r="C48" s="545"/>
      <c r="D48" s="545"/>
      <c r="E48" s="545"/>
      <c r="F48" s="545"/>
      <c r="G48" s="545"/>
      <c r="H48" s="545"/>
      <c r="I48" s="545"/>
    </row>
    <row r="50" spans="1:9" ht="31.5" customHeight="1">
      <c r="A50" s="483" t="s">
        <v>550</v>
      </c>
      <c r="B50" s="491" t="s">
        <v>582</v>
      </c>
      <c r="C50" s="491"/>
      <c r="D50" s="491"/>
      <c r="E50" s="489" t="s">
        <v>583</v>
      </c>
      <c r="F50" s="491" t="s">
        <v>584</v>
      </c>
      <c r="G50" s="491"/>
      <c r="H50" s="491"/>
      <c r="I50" s="236"/>
    </row>
    <row r="51" spans="1:9" ht="31.5" customHeight="1">
      <c r="A51" s="484"/>
      <c r="B51" s="491"/>
      <c r="C51" s="491"/>
      <c r="D51" s="491"/>
      <c r="E51" s="490"/>
      <c r="F51" s="229" t="s">
        <v>585</v>
      </c>
      <c r="G51" s="229" t="s">
        <v>562</v>
      </c>
      <c r="H51" s="229" t="s">
        <v>568</v>
      </c>
      <c r="I51" s="230"/>
    </row>
    <row r="52" spans="1:9" ht="17.25" customHeight="1">
      <c r="A52" s="237">
        <v>1</v>
      </c>
      <c r="B52" s="544">
        <v>2</v>
      </c>
      <c r="C52" s="544"/>
      <c r="D52" s="544"/>
      <c r="E52" s="202">
        <v>3</v>
      </c>
      <c r="F52" s="202">
        <v>4</v>
      </c>
      <c r="G52" s="202">
        <v>5</v>
      </c>
      <c r="H52" s="202">
        <v>6</v>
      </c>
      <c r="I52" s="239"/>
    </row>
    <row r="53" spans="1:9" s="189" customFormat="1" ht="32.25" customHeight="1">
      <c r="A53" s="240">
        <v>1</v>
      </c>
      <c r="B53" s="541" t="s">
        <v>586</v>
      </c>
      <c r="C53" s="542"/>
      <c r="D53" s="543"/>
      <c r="E53" s="234" t="s">
        <v>567</v>
      </c>
      <c r="F53" s="234"/>
      <c r="G53" s="234"/>
      <c r="H53" s="234"/>
      <c r="I53" s="194"/>
    </row>
    <row r="54" spans="1:9" ht="34.5" customHeight="1">
      <c r="A54" s="240" t="s">
        <v>587</v>
      </c>
      <c r="B54" s="541" t="s">
        <v>588</v>
      </c>
      <c r="C54" s="542"/>
      <c r="D54" s="543"/>
      <c r="E54" s="241">
        <f>J26</f>
        <v>16320396.12</v>
      </c>
      <c r="F54" s="241">
        <f>SUM(G54:H54)</f>
        <v>3590485.56</v>
      </c>
      <c r="G54" s="241">
        <f>ROUND(E54*22%,2)-1.59</f>
        <v>3590485.56</v>
      </c>
      <c r="H54" s="208"/>
      <c r="I54" s="194"/>
    </row>
    <row r="55" spans="1:9" ht="16.5" customHeight="1">
      <c r="A55" s="240" t="s">
        <v>589</v>
      </c>
      <c r="B55" s="541" t="s">
        <v>590</v>
      </c>
      <c r="C55" s="542"/>
      <c r="D55" s="543"/>
      <c r="E55" s="242">
        <v>0</v>
      </c>
      <c r="F55" s="242"/>
      <c r="G55" s="242"/>
      <c r="H55" s="208"/>
      <c r="I55" s="194"/>
    </row>
    <row r="56" spans="1:9" ht="34.5" customHeight="1">
      <c r="A56" s="240" t="s">
        <v>591</v>
      </c>
      <c r="B56" s="541" t="s">
        <v>592</v>
      </c>
      <c r="C56" s="542"/>
      <c r="D56" s="543"/>
      <c r="E56" s="242">
        <v>0</v>
      </c>
      <c r="F56" s="242"/>
      <c r="G56" s="242"/>
      <c r="H56" s="208"/>
      <c r="I56" s="194"/>
    </row>
    <row r="57" spans="1:9" ht="33" customHeight="1">
      <c r="A57" s="240" t="s">
        <v>593</v>
      </c>
      <c r="B57" s="541" t="s">
        <v>594</v>
      </c>
      <c r="C57" s="542"/>
      <c r="D57" s="543"/>
      <c r="E57" s="241">
        <f>SUM(F57:G57)</f>
        <v>0</v>
      </c>
      <c r="F57" s="241">
        <f>SUM(G57:H57)</f>
        <v>0</v>
      </c>
      <c r="G57" s="242"/>
      <c r="H57" s="208"/>
      <c r="I57" s="194"/>
    </row>
    <row r="58" spans="1:9" ht="41.25" customHeight="1">
      <c r="A58" s="240" t="s">
        <v>595</v>
      </c>
      <c r="B58" s="538" t="s">
        <v>596</v>
      </c>
      <c r="C58" s="539"/>
      <c r="D58" s="540"/>
      <c r="E58" s="241">
        <f>E54</f>
        <v>16320396.12</v>
      </c>
      <c r="F58" s="241">
        <f>SUM(G58:H58)</f>
        <v>473291.49</v>
      </c>
      <c r="G58" s="241">
        <f>ROUND(E58*2.9%,2)</f>
        <v>473291.49</v>
      </c>
      <c r="H58" s="208"/>
      <c r="I58" s="194"/>
    </row>
    <row r="59" spans="1:9" ht="34.5" customHeight="1">
      <c r="A59" s="240" t="s">
        <v>597</v>
      </c>
      <c r="B59" s="541" t="s">
        <v>598</v>
      </c>
      <c r="C59" s="542"/>
      <c r="D59" s="543"/>
      <c r="E59" s="242">
        <v>0</v>
      </c>
      <c r="F59" s="242"/>
      <c r="G59" s="242"/>
      <c r="H59" s="208"/>
      <c r="I59" s="194"/>
    </row>
    <row r="60" spans="1:9" ht="33.75" customHeight="1">
      <c r="A60" s="240" t="s">
        <v>599</v>
      </c>
      <c r="B60" s="541" t="s">
        <v>600</v>
      </c>
      <c r="C60" s="542"/>
      <c r="D60" s="543"/>
      <c r="E60" s="241">
        <f>E58</f>
        <v>16320396.12</v>
      </c>
      <c r="F60" s="241">
        <f>SUM(G60:H60)</f>
        <v>32640.79</v>
      </c>
      <c r="G60" s="241">
        <f>ROUND(E60*0.2%,2)</f>
        <v>32640.79</v>
      </c>
      <c r="H60" s="208"/>
      <c r="I60" s="194"/>
    </row>
    <row r="61" spans="1:9" ht="33.75" customHeight="1">
      <c r="A61" s="240" t="s">
        <v>601</v>
      </c>
      <c r="B61" s="541" t="s">
        <v>602</v>
      </c>
      <c r="C61" s="542"/>
      <c r="D61" s="543"/>
      <c r="E61" s="242">
        <v>0</v>
      </c>
      <c r="F61" s="242"/>
      <c r="G61" s="242"/>
      <c r="H61" s="208"/>
      <c r="I61" s="194"/>
    </row>
    <row r="62" spans="1:9" ht="39.75" customHeight="1">
      <c r="A62" s="240" t="s">
        <v>603</v>
      </c>
      <c r="B62" s="541" t="s">
        <v>602</v>
      </c>
      <c r="C62" s="542"/>
      <c r="D62" s="543"/>
      <c r="E62" s="242">
        <v>0</v>
      </c>
      <c r="F62" s="242"/>
      <c r="G62" s="242"/>
      <c r="H62" s="208"/>
      <c r="I62" s="194"/>
    </row>
    <row r="63" spans="1:9" ht="30" customHeight="1">
      <c r="A63" s="240" t="s">
        <v>604</v>
      </c>
      <c r="B63" s="541" t="s">
        <v>605</v>
      </c>
      <c r="C63" s="542"/>
      <c r="D63" s="543"/>
      <c r="E63" s="241">
        <f>E60</f>
        <v>16320396.12</v>
      </c>
      <c r="F63" s="241">
        <f>SUM(G63:H63)</f>
        <v>832340.2</v>
      </c>
      <c r="G63" s="241">
        <f>ROUND(E63*5.1%,2)</f>
        <v>832340.2</v>
      </c>
      <c r="H63" s="208"/>
      <c r="I63" s="194"/>
    </row>
    <row r="64" spans="1:9" ht="30.75" customHeight="1">
      <c r="A64" s="531" t="s">
        <v>576</v>
      </c>
      <c r="B64" s="531"/>
      <c r="C64" s="531"/>
      <c r="D64" s="531"/>
      <c r="E64" s="242" t="s">
        <v>567</v>
      </c>
      <c r="F64" s="243">
        <f>SUM(F54:F63)</f>
        <v>4928758.04</v>
      </c>
      <c r="G64" s="243">
        <f>SUM(G54:G63)</f>
        <v>4928758.04</v>
      </c>
      <c r="H64" s="244">
        <f>H53+H57+H63</f>
        <v>0</v>
      </c>
      <c r="I64" s="194"/>
    </row>
    <row r="65" spans="2:6" ht="16.5" customHeight="1">
      <c r="B65" s="245"/>
      <c r="C65" s="245"/>
      <c r="D65" s="245"/>
      <c r="E65" s="239"/>
      <c r="F65" s="194"/>
    </row>
    <row r="66" spans="1:11" ht="99" customHeight="1">
      <c r="A66" s="532" t="s">
        <v>606</v>
      </c>
      <c r="B66" s="532"/>
      <c r="C66" s="532"/>
      <c r="D66" s="532"/>
      <c r="E66" s="532"/>
      <c r="F66" s="532"/>
      <c r="G66" s="532"/>
      <c r="H66" s="532"/>
      <c r="I66" s="532"/>
      <c r="J66" s="532"/>
      <c r="K66" s="532"/>
    </row>
    <row r="67" spans="2:6" ht="21" customHeight="1">
      <c r="B67" s="533"/>
      <c r="C67" s="533"/>
      <c r="D67" s="533"/>
      <c r="E67" s="533"/>
      <c r="F67" s="533"/>
    </row>
    <row r="68" spans="1:11" s="247" customFormat="1" ht="27" customHeight="1">
      <c r="A68" s="522" t="s">
        <v>607</v>
      </c>
      <c r="B68" s="522"/>
      <c r="C68" s="522"/>
      <c r="D68" s="522"/>
      <c r="E68" s="522"/>
      <c r="F68" s="522"/>
      <c r="G68" s="522"/>
      <c r="H68" s="522"/>
      <c r="I68" s="522"/>
      <c r="J68" s="522"/>
      <c r="K68" s="522"/>
    </row>
    <row r="69" spans="1:11" s="247" customFormat="1" ht="16.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</row>
    <row r="70" spans="2:31" ht="15.75" customHeight="1">
      <c r="B70" s="195" t="s">
        <v>608</v>
      </c>
      <c r="C70" s="195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</row>
    <row r="71" spans="2:31" ht="15.75" customHeight="1">
      <c r="B71" s="187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</row>
    <row r="72" spans="2:31" ht="15.75" customHeight="1">
      <c r="B72" s="195" t="s">
        <v>547</v>
      </c>
      <c r="C72" s="195"/>
      <c r="D72" s="195" t="s">
        <v>609</v>
      </c>
      <c r="E72" s="195"/>
      <c r="F72" s="195"/>
      <c r="G72" s="195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</row>
    <row r="73" spans="2:31" ht="15.75" customHeight="1">
      <c r="B73" s="187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</row>
    <row r="74" spans="1:9" s="247" customFormat="1" ht="15.75" customHeight="1">
      <c r="A74" s="483" t="s">
        <v>550</v>
      </c>
      <c r="B74" s="534" t="s">
        <v>1</v>
      </c>
      <c r="C74" s="534"/>
      <c r="D74" s="534"/>
      <c r="E74" s="534" t="s">
        <v>610</v>
      </c>
      <c r="F74" s="534" t="s">
        <v>611</v>
      </c>
      <c r="G74" s="535" t="s">
        <v>584</v>
      </c>
      <c r="H74" s="536"/>
      <c r="I74" s="537"/>
    </row>
    <row r="75" spans="1:49" s="247" customFormat="1" ht="51" customHeight="1">
      <c r="A75" s="484"/>
      <c r="B75" s="534"/>
      <c r="C75" s="534"/>
      <c r="D75" s="534"/>
      <c r="E75" s="534"/>
      <c r="F75" s="534"/>
      <c r="G75" s="229" t="s">
        <v>612</v>
      </c>
      <c r="H75" s="227" t="s">
        <v>562</v>
      </c>
      <c r="I75" s="229" t="s">
        <v>568</v>
      </c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</row>
    <row r="76" spans="1:49" s="247" customFormat="1" ht="15.75">
      <c r="A76" s="250">
        <v>1</v>
      </c>
      <c r="B76" s="526">
        <v>2</v>
      </c>
      <c r="C76" s="526"/>
      <c r="D76" s="526"/>
      <c r="E76" s="250">
        <v>3</v>
      </c>
      <c r="F76" s="251">
        <v>4</v>
      </c>
      <c r="G76" s="252">
        <v>4</v>
      </c>
      <c r="H76" s="253">
        <v>5</v>
      </c>
      <c r="I76" s="252">
        <v>6</v>
      </c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</row>
    <row r="77" spans="1:49" s="247" customFormat="1" ht="32.25" customHeight="1">
      <c r="A77" s="254" t="s">
        <v>613</v>
      </c>
      <c r="B77" s="527"/>
      <c r="C77" s="527"/>
      <c r="D77" s="527"/>
      <c r="E77" s="255"/>
      <c r="F77" s="256"/>
      <c r="G77" s="234"/>
      <c r="H77" s="235"/>
      <c r="I77" s="23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</row>
    <row r="78" spans="1:49" s="247" customFormat="1" ht="30.75" customHeight="1">
      <c r="A78" s="254" t="s">
        <v>593</v>
      </c>
      <c r="B78" s="527"/>
      <c r="C78" s="527"/>
      <c r="D78" s="527"/>
      <c r="E78" s="255"/>
      <c r="F78" s="256"/>
      <c r="G78" s="234"/>
      <c r="H78" s="235"/>
      <c r="I78" s="23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</row>
    <row r="79" spans="1:49" s="247" customFormat="1" ht="35.25" customHeight="1">
      <c r="A79" s="254" t="s">
        <v>604</v>
      </c>
      <c r="B79" s="527"/>
      <c r="C79" s="527"/>
      <c r="D79" s="527"/>
      <c r="E79" s="255"/>
      <c r="F79" s="256"/>
      <c r="G79" s="234"/>
      <c r="H79" s="235"/>
      <c r="I79" s="23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</row>
    <row r="80" spans="1:49" s="247" customFormat="1" ht="15.75">
      <c r="A80" s="528" t="s">
        <v>566</v>
      </c>
      <c r="B80" s="529"/>
      <c r="C80" s="529"/>
      <c r="D80" s="530"/>
      <c r="E80" s="255" t="s">
        <v>567</v>
      </c>
      <c r="F80" s="257" t="s">
        <v>567</v>
      </c>
      <c r="G80" s="208"/>
      <c r="H80" s="235"/>
      <c r="I80" s="23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</row>
    <row r="81" spans="6:49" s="247" customFormat="1" ht="15.75"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</row>
    <row r="82" spans="1:49" s="247" customFormat="1" ht="69" customHeight="1">
      <c r="A82" s="500" t="s">
        <v>614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</row>
    <row r="83" s="247" customFormat="1" ht="15.75"/>
    <row r="84" spans="1:11" ht="15.75" customHeight="1">
      <c r="A84" s="522" t="s">
        <v>615</v>
      </c>
      <c r="B84" s="522"/>
      <c r="C84" s="522"/>
      <c r="D84" s="522"/>
      <c r="E84" s="522"/>
      <c r="F84" s="522"/>
      <c r="G84" s="522"/>
      <c r="H84" s="522"/>
      <c r="I84" s="522"/>
      <c r="J84" s="522"/>
      <c r="K84" s="522"/>
    </row>
    <row r="85" spans="1:11" ht="15.75" customHeight="1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</row>
    <row r="86" spans="2:31" ht="15.75" customHeight="1">
      <c r="B86" s="195" t="s">
        <v>616</v>
      </c>
      <c r="C86" s="195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</row>
    <row r="87" spans="2:31" ht="15.75" customHeight="1">
      <c r="B87" s="187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</row>
    <row r="88" spans="2:31" ht="15.75" customHeight="1">
      <c r="B88" s="195" t="s">
        <v>547</v>
      </c>
      <c r="C88" s="195"/>
      <c r="D88" s="195" t="s">
        <v>609</v>
      </c>
      <c r="E88" s="195"/>
      <c r="F88" s="195"/>
      <c r="G88" s="195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</row>
    <row r="89" spans="1:4" ht="15.75" customHeight="1">
      <c r="A89" s="196"/>
      <c r="B89" s="196"/>
      <c r="C89" s="196"/>
      <c r="D89" s="196"/>
    </row>
    <row r="90" spans="1:8" ht="15.75" customHeight="1">
      <c r="A90" s="483" t="s">
        <v>550</v>
      </c>
      <c r="B90" s="491" t="s">
        <v>617</v>
      </c>
      <c r="C90" s="491"/>
      <c r="D90" s="489" t="s">
        <v>618</v>
      </c>
      <c r="E90" s="489" t="s">
        <v>619</v>
      </c>
      <c r="F90" s="523" t="s">
        <v>584</v>
      </c>
      <c r="G90" s="524"/>
      <c r="H90" s="525"/>
    </row>
    <row r="91" spans="1:8" ht="51.75" customHeight="1">
      <c r="A91" s="484"/>
      <c r="B91" s="491"/>
      <c r="C91" s="491"/>
      <c r="D91" s="490"/>
      <c r="E91" s="490"/>
      <c r="F91" s="260" t="s">
        <v>620</v>
      </c>
      <c r="G91" s="227" t="s">
        <v>562</v>
      </c>
      <c r="H91" s="229" t="s">
        <v>568</v>
      </c>
    </row>
    <row r="92" spans="1:8" ht="15.75">
      <c r="A92" s="261">
        <v>1</v>
      </c>
      <c r="B92" s="519">
        <v>2</v>
      </c>
      <c r="C92" s="519"/>
      <c r="D92" s="261">
        <v>3</v>
      </c>
      <c r="E92" s="261">
        <v>4</v>
      </c>
      <c r="F92" s="261">
        <v>5</v>
      </c>
      <c r="G92" s="262">
        <v>6</v>
      </c>
      <c r="H92" s="261">
        <v>7</v>
      </c>
    </row>
    <row r="93" spans="1:8" ht="15.75">
      <c r="A93" s="202">
        <v>1</v>
      </c>
      <c r="B93" s="520" t="s">
        <v>621</v>
      </c>
      <c r="C93" s="520"/>
      <c r="D93" s="263">
        <v>197314200</v>
      </c>
      <c r="E93" s="263">
        <v>1.5</v>
      </c>
      <c r="F93" s="234"/>
      <c r="G93" s="235"/>
      <c r="H93" s="264">
        <f>D93*E93%</f>
        <v>2959713</v>
      </c>
    </row>
    <row r="94" spans="1:8" ht="15.75">
      <c r="A94" s="202">
        <v>2</v>
      </c>
      <c r="B94" s="520" t="s">
        <v>622</v>
      </c>
      <c r="C94" s="520"/>
      <c r="D94" s="265"/>
      <c r="E94" s="265"/>
      <c r="F94" s="234"/>
      <c r="G94" s="235"/>
      <c r="H94" s="264"/>
    </row>
    <row r="95" spans="1:8" ht="33.75" customHeight="1">
      <c r="A95" s="202">
        <v>3</v>
      </c>
      <c r="B95" s="521" t="s">
        <v>623</v>
      </c>
      <c r="C95" s="521"/>
      <c r="D95" s="208"/>
      <c r="E95" s="208"/>
      <c r="F95" s="208"/>
      <c r="G95" s="235"/>
      <c r="H95" s="264"/>
    </row>
    <row r="96" spans="1:8" ht="15.75">
      <c r="A96" s="202">
        <v>4</v>
      </c>
      <c r="B96" s="520"/>
      <c r="C96" s="520"/>
      <c r="D96" s="208"/>
      <c r="E96" s="266"/>
      <c r="F96" s="208"/>
      <c r="G96" s="235"/>
      <c r="H96" s="264"/>
    </row>
    <row r="97" spans="1:8" ht="15.75">
      <c r="A97" s="202">
        <v>5</v>
      </c>
      <c r="B97" s="520"/>
      <c r="C97" s="520"/>
      <c r="D97" s="208"/>
      <c r="E97" s="266"/>
      <c r="F97" s="208"/>
      <c r="G97" s="235"/>
      <c r="H97" s="264"/>
    </row>
    <row r="98" spans="1:8" ht="15.75">
      <c r="A98" s="503" t="s">
        <v>566</v>
      </c>
      <c r="B98" s="517"/>
      <c r="C98" s="504"/>
      <c r="D98" s="267">
        <f>SUM(D93:D97)</f>
        <v>197314200</v>
      </c>
      <c r="E98" s="268" t="s">
        <v>567</v>
      </c>
      <c r="F98" s="208"/>
      <c r="G98" s="235"/>
      <c r="H98" s="269">
        <f>SUM(H93:H97)</f>
        <v>2959713</v>
      </c>
    </row>
    <row r="99" spans="1:7" ht="15.75">
      <c r="A99" s="194"/>
      <c r="B99" s="194"/>
      <c r="C99" s="194"/>
      <c r="D99" s="194"/>
      <c r="E99" s="194"/>
      <c r="F99" s="194"/>
      <c r="G99" s="194"/>
    </row>
    <row r="100" spans="1:11" ht="49.5" customHeight="1">
      <c r="A100" s="505" t="s">
        <v>624</v>
      </c>
      <c r="B100" s="505"/>
      <c r="C100" s="505"/>
      <c r="D100" s="505"/>
      <c r="E100" s="505"/>
      <c r="F100" s="505"/>
      <c r="G100" s="505"/>
      <c r="H100" s="505"/>
      <c r="I100" s="505"/>
      <c r="J100" s="505"/>
      <c r="K100" s="505"/>
    </row>
    <row r="101" spans="1:7" ht="15.75">
      <c r="A101" s="194"/>
      <c r="B101" s="194"/>
      <c r="C101" s="194"/>
      <c r="D101" s="194"/>
      <c r="E101" s="194"/>
      <c r="F101" s="194"/>
      <c r="G101" s="194"/>
    </row>
    <row r="102" spans="1:11" ht="15.75">
      <c r="A102" s="514" t="s">
        <v>625</v>
      </c>
      <c r="B102" s="514"/>
      <c r="C102" s="514"/>
      <c r="D102" s="514"/>
      <c r="E102" s="514"/>
      <c r="F102" s="514"/>
      <c r="G102" s="514"/>
      <c r="H102" s="514"/>
      <c r="I102" s="514"/>
      <c r="J102" s="514"/>
      <c r="K102" s="514"/>
    </row>
    <row r="103" spans="1:7" ht="17.25" customHeight="1">
      <c r="A103" s="518" t="s">
        <v>626</v>
      </c>
      <c r="B103" s="518"/>
      <c r="C103" s="518"/>
      <c r="D103" s="518"/>
      <c r="E103" s="518"/>
      <c r="F103" s="194"/>
      <c r="G103" s="194"/>
    </row>
    <row r="104" spans="2:31" ht="15.75" customHeight="1">
      <c r="B104" s="195" t="s">
        <v>627</v>
      </c>
      <c r="C104" s="195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</row>
    <row r="105" spans="2:31" ht="15.75" customHeight="1">
      <c r="B105" s="187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</row>
    <row r="106" spans="2:31" ht="15.75" customHeight="1">
      <c r="B106" s="195" t="s">
        <v>547</v>
      </c>
      <c r="C106" s="195"/>
      <c r="D106" s="195" t="s">
        <v>609</v>
      </c>
      <c r="E106" s="195"/>
      <c r="F106" s="195"/>
      <c r="G106" s="195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</row>
    <row r="107" spans="1:7" ht="17.25" customHeight="1">
      <c r="A107" s="270"/>
      <c r="B107" s="270"/>
      <c r="C107" s="270"/>
      <c r="D107" s="270"/>
      <c r="E107" s="270"/>
      <c r="F107" s="194"/>
      <c r="G107" s="194"/>
    </row>
    <row r="108" spans="1:8" ht="15.75">
      <c r="A108" s="483" t="s">
        <v>550</v>
      </c>
      <c r="B108" s="508" t="s">
        <v>1</v>
      </c>
      <c r="C108" s="508" t="s">
        <v>610</v>
      </c>
      <c r="D108" s="508" t="s">
        <v>611</v>
      </c>
      <c r="E108" s="476" t="s">
        <v>584</v>
      </c>
      <c r="F108" s="509"/>
      <c r="G108" s="477"/>
      <c r="H108" s="259"/>
    </row>
    <row r="109" spans="1:50" ht="48.75" customHeight="1">
      <c r="A109" s="484"/>
      <c r="B109" s="508"/>
      <c r="C109" s="508"/>
      <c r="D109" s="508"/>
      <c r="E109" s="272" t="s">
        <v>612</v>
      </c>
      <c r="F109" s="273" t="s">
        <v>562</v>
      </c>
      <c r="G109" s="238" t="s">
        <v>568</v>
      </c>
      <c r="H109" s="274"/>
      <c r="I109" s="275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194"/>
    </row>
    <row r="110" spans="1:50" ht="14.25" customHeight="1">
      <c r="A110" s="231">
        <v>1</v>
      </c>
      <c r="B110" s="276">
        <v>2</v>
      </c>
      <c r="C110" s="276">
        <v>3</v>
      </c>
      <c r="D110" s="276">
        <v>4</v>
      </c>
      <c r="E110" s="276">
        <v>5</v>
      </c>
      <c r="F110" s="232">
        <v>6</v>
      </c>
      <c r="G110" s="231">
        <v>7</v>
      </c>
      <c r="H110" s="233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194"/>
    </row>
    <row r="111" spans="1:50" ht="15.75">
      <c r="A111" s="202"/>
      <c r="B111" s="272"/>
      <c r="C111" s="277"/>
      <c r="D111" s="277"/>
      <c r="E111" s="277"/>
      <c r="F111" s="257"/>
      <c r="G111" s="277"/>
      <c r="H111" s="278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194"/>
    </row>
    <row r="112" spans="1:50" ht="15.75">
      <c r="A112" s="202"/>
      <c r="B112" s="272"/>
      <c r="C112" s="277"/>
      <c r="D112" s="277"/>
      <c r="E112" s="277"/>
      <c r="F112" s="257"/>
      <c r="G112" s="277"/>
      <c r="H112" s="278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194"/>
    </row>
    <row r="113" spans="1:50" ht="15.75">
      <c r="A113" s="503" t="s">
        <v>566</v>
      </c>
      <c r="B113" s="504"/>
      <c r="C113" s="277" t="s">
        <v>567</v>
      </c>
      <c r="D113" s="277" t="s">
        <v>567</v>
      </c>
      <c r="E113" s="277"/>
      <c r="F113" s="257"/>
      <c r="G113" s="277"/>
      <c r="H113" s="278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194"/>
    </row>
    <row r="114" spans="1:50" ht="15.75">
      <c r="A114" s="279"/>
      <c r="B114" s="279"/>
      <c r="C114" s="278"/>
      <c r="D114" s="278"/>
      <c r="E114" s="278"/>
      <c r="F114" s="278"/>
      <c r="G114" s="278"/>
      <c r="H114" s="278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194"/>
    </row>
    <row r="115" spans="1:50" ht="36" customHeight="1">
      <c r="A115" s="515" t="s">
        <v>628</v>
      </c>
      <c r="B115" s="515"/>
      <c r="C115" s="515"/>
      <c r="D115" s="515"/>
      <c r="E115" s="515"/>
      <c r="F115" s="515"/>
      <c r="G115" s="515"/>
      <c r="H115" s="515"/>
      <c r="I115" s="515"/>
      <c r="J115" s="515"/>
      <c r="K115" s="515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194"/>
    </row>
    <row r="116" spans="2:11" ht="15.75">
      <c r="B116" s="187"/>
      <c r="I116" s="194"/>
      <c r="J116" s="280"/>
      <c r="K116" s="280"/>
    </row>
    <row r="117" spans="1:12" ht="15.75" customHeight="1">
      <c r="A117" s="516" t="s">
        <v>629</v>
      </c>
      <c r="B117" s="516"/>
      <c r="C117" s="516"/>
      <c r="D117" s="516"/>
      <c r="E117" s="516"/>
      <c r="F117" s="516"/>
      <c r="G117" s="516"/>
      <c r="H117" s="516"/>
      <c r="I117" s="516"/>
      <c r="J117" s="516"/>
      <c r="K117" s="516"/>
      <c r="L117" s="282"/>
    </row>
    <row r="118" spans="1:12" ht="15.75" customHeight="1">
      <c r="A118" s="281"/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2"/>
    </row>
    <row r="119" spans="2:31" ht="15.75" customHeight="1">
      <c r="B119" s="195" t="s">
        <v>627</v>
      </c>
      <c r="C119" s="195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</row>
    <row r="120" spans="2:31" ht="15.75" customHeight="1">
      <c r="B120" s="187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2:31" ht="15.75" customHeight="1">
      <c r="B121" s="195" t="s">
        <v>547</v>
      </c>
      <c r="C121" s="195"/>
      <c r="D121" s="195" t="s">
        <v>609</v>
      </c>
      <c r="E121" s="195"/>
      <c r="F121" s="195"/>
      <c r="G121" s="195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12" ht="15.75" customHeight="1">
      <c r="A122" s="226"/>
      <c r="B122" s="226"/>
      <c r="C122" s="226"/>
      <c r="D122" s="226"/>
      <c r="E122" s="226"/>
      <c r="F122" s="226"/>
      <c r="G122" s="282"/>
      <c r="H122" s="282"/>
      <c r="I122" s="282"/>
      <c r="J122" s="282"/>
      <c r="K122" s="282"/>
      <c r="L122" s="282"/>
    </row>
    <row r="123" spans="1:8" ht="15.75" customHeight="1">
      <c r="A123" s="483" t="s">
        <v>550</v>
      </c>
      <c r="B123" s="508" t="s">
        <v>1</v>
      </c>
      <c r="C123" s="508" t="s">
        <v>610</v>
      </c>
      <c r="D123" s="508" t="s">
        <v>611</v>
      </c>
      <c r="E123" s="476" t="s">
        <v>584</v>
      </c>
      <c r="F123" s="509"/>
      <c r="G123" s="477"/>
      <c r="H123" s="259"/>
    </row>
    <row r="124" spans="1:50" ht="47.25" customHeight="1">
      <c r="A124" s="484"/>
      <c r="B124" s="508"/>
      <c r="C124" s="508"/>
      <c r="D124" s="508"/>
      <c r="E124" s="272" t="s">
        <v>612</v>
      </c>
      <c r="F124" s="238" t="s">
        <v>562</v>
      </c>
      <c r="G124" s="238" t="s">
        <v>568</v>
      </c>
      <c r="H124" s="274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194"/>
    </row>
    <row r="125" spans="1:50" ht="12" customHeight="1">
      <c r="A125" s="283">
        <v>1</v>
      </c>
      <c r="B125" s="284">
        <v>2</v>
      </c>
      <c r="C125" s="284">
        <v>3</v>
      </c>
      <c r="D125" s="284">
        <v>4</v>
      </c>
      <c r="E125" s="276">
        <v>5</v>
      </c>
      <c r="F125" s="231">
        <v>6</v>
      </c>
      <c r="G125" s="231">
        <v>7</v>
      </c>
      <c r="H125" s="233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194"/>
    </row>
    <row r="126" spans="1:50" ht="15.75">
      <c r="A126" s="202"/>
      <c r="B126" s="198"/>
      <c r="C126" s="204"/>
      <c r="D126" s="204"/>
      <c r="E126" s="277"/>
      <c r="F126" s="277"/>
      <c r="G126" s="277"/>
      <c r="H126" s="278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194"/>
    </row>
    <row r="127" spans="1:50" ht="15.75">
      <c r="A127" s="202"/>
      <c r="B127" s="198"/>
      <c r="C127" s="204"/>
      <c r="D127" s="204"/>
      <c r="E127" s="277"/>
      <c r="F127" s="277"/>
      <c r="G127" s="277"/>
      <c r="H127" s="278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194"/>
    </row>
    <row r="128" spans="1:50" ht="15.75">
      <c r="A128" s="503" t="s">
        <v>566</v>
      </c>
      <c r="B128" s="504"/>
      <c r="C128" s="204" t="s">
        <v>567</v>
      </c>
      <c r="D128" s="204" t="s">
        <v>567</v>
      </c>
      <c r="E128" s="277"/>
      <c r="F128" s="277"/>
      <c r="G128" s="277"/>
      <c r="H128" s="278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194"/>
    </row>
    <row r="129" spans="1:50" ht="15.75">
      <c r="A129" s="239"/>
      <c r="B129" s="194"/>
      <c r="C129" s="239"/>
      <c r="D129" s="239"/>
      <c r="E129" s="239"/>
      <c r="F129" s="239"/>
      <c r="G129" s="194"/>
      <c r="H129" s="280"/>
      <c r="I129" s="280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</row>
    <row r="130" spans="1:50" ht="39" customHeight="1">
      <c r="A130" s="505" t="s">
        <v>630</v>
      </c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</row>
    <row r="131" spans="1:50" ht="15.75">
      <c r="A131" s="239"/>
      <c r="B131" s="194"/>
      <c r="C131" s="239"/>
      <c r="D131" s="239"/>
      <c r="E131" s="239"/>
      <c r="F131" s="239"/>
      <c r="G131" s="194"/>
      <c r="H131" s="280"/>
      <c r="I131" s="280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</row>
    <row r="132" spans="1:11" ht="15.75">
      <c r="A132" s="514" t="s">
        <v>631</v>
      </c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</row>
    <row r="133" spans="1:10" ht="15.75">
      <c r="A133" s="239"/>
      <c r="B133" s="194"/>
      <c r="C133" s="239"/>
      <c r="D133" s="239"/>
      <c r="E133" s="239"/>
      <c r="F133" s="239"/>
      <c r="G133" s="194"/>
      <c r="H133" s="280"/>
      <c r="I133" s="280"/>
      <c r="J133" s="194"/>
    </row>
    <row r="134" spans="2:31" ht="15.75" customHeight="1">
      <c r="B134" s="195" t="s">
        <v>632</v>
      </c>
      <c r="C134" s="195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</row>
    <row r="135" spans="2:31" ht="15.75" customHeight="1">
      <c r="B135" s="187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</row>
    <row r="136" spans="2:31" ht="15.75" customHeight="1">
      <c r="B136" s="195" t="s">
        <v>547</v>
      </c>
      <c r="C136" s="195"/>
      <c r="D136" s="195" t="s">
        <v>609</v>
      </c>
      <c r="E136" s="195"/>
      <c r="F136" s="195"/>
      <c r="G136" s="195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</row>
    <row r="137" spans="1:10" ht="15.75">
      <c r="A137" s="239"/>
      <c r="B137" s="194"/>
      <c r="C137" s="239"/>
      <c r="D137" s="239"/>
      <c r="E137" s="239"/>
      <c r="F137" s="239"/>
      <c r="G137" s="194"/>
      <c r="H137" s="280"/>
      <c r="I137" s="280"/>
      <c r="J137" s="194"/>
    </row>
    <row r="138" spans="1:10" ht="15.75">
      <c r="A138" s="239"/>
      <c r="B138" s="225" t="s">
        <v>633</v>
      </c>
      <c r="C138" s="239"/>
      <c r="D138" s="239"/>
      <c r="E138" s="239"/>
      <c r="F138" s="239"/>
      <c r="G138" s="194"/>
      <c r="H138" s="280"/>
      <c r="I138" s="280"/>
      <c r="J138" s="194"/>
    </row>
    <row r="139" spans="1:10" ht="15.75">
      <c r="A139" s="285"/>
      <c r="B139" s="285"/>
      <c r="C139" s="285"/>
      <c r="D139" s="285"/>
      <c r="E139" s="239"/>
      <c r="F139" s="239"/>
      <c r="G139" s="194"/>
      <c r="H139" s="280"/>
      <c r="I139" s="280"/>
      <c r="J139" s="194"/>
    </row>
    <row r="140" spans="1:36" ht="22.5" customHeight="1">
      <c r="A140" s="483" t="s">
        <v>550</v>
      </c>
      <c r="B140" s="508" t="s">
        <v>571</v>
      </c>
      <c r="C140" s="508" t="s">
        <v>634</v>
      </c>
      <c r="D140" s="508" t="s">
        <v>635</v>
      </c>
      <c r="E140" s="508" t="s">
        <v>636</v>
      </c>
      <c r="F140" s="476" t="s">
        <v>584</v>
      </c>
      <c r="G140" s="509"/>
      <c r="H140" s="477"/>
      <c r="I140" s="259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</row>
    <row r="141" spans="1:36" ht="56.25" customHeight="1">
      <c r="A141" s="484"/>
      <c r="B141" s="508"/>
      <c r="C141" s="508"/>
      <c r="D141" s="508"/>
      <c r="E141" s="508"/>
      <c r="F141" s="248" t="s">
        <v>637</v>
      </c>
      <c r="G141" s="227" t="s">
        <v>562</v>
      </c>
      <c r="H141" s="229" t="s">
        <v>568</v>
      </c>
      <c r="I141" s="274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194"/>
    </row>
    <row r="142" spans="1:36" ht="15.75">
      <c r="A142" s="203">
        <v>1</v>
      </c>
      <c r="B142" s="203">
        <v>2</v>
      </c>
      <c r="C142" s="203">
        <v>3</v>
      </c>
      <c r="D142" s="203">
        <v>4</v>
      </c>
      <c r="E142" s="203">
        <v>5</v>
      </c>
      <c r="F142" s="206">
        <v>6</v>
      </c>
      <c r="G142" s="232">
        <v>7</v>
      </c>
      <c r="H142" s="231">
        <v>8</v>
      </c>
      <c r="I142" s="233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194"/>
    </row>
    <row r="143" spans="1:36" ht="39">
      <c r="A143" s="240" t="s">
        <v>613</v>
      </c>
      <c r="B143" s="288" t="s">
        <v>638</v>
      </c>
      <c r="C143" s="289">
        <v>6</v>
      </c>
      <c r="D143" s="290">
        <v>11</v>
      </c>
      <c r="E143" s="291">
        <v>484.85</v>
      </c>
      <c r="F143" s="292">
        <f>SUM(G143:H143)</f>
        <v>32000.100000000002</v>
      </c>
      <c r="G143" s="292">
        <v>0</v>
      </c>
      <c r="H143" s="292">
        <f>C143*D143*E143</f>
        <v>32000.100000000002</v>
      </c>
      <c r="I143" s="278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194"/>
    </row>
    <row r="144" spans="1:36" ht="26.25">
      <c r="A144" s="240" t="s">
        <v>593</v>
      </c>
      <c r="B144" s="288" t="s">
        <v>639</v>
      </c>
      <c r="C144" s="291" t="s">
        <v>567</v>
      </c>
      <c r="D144" s="291">
        <v>12</v>
      </c>
      <c r="E144" s="291">
        <v>6000</v>
      </c>
      <c r="F144" s="291">
        <f>E144*12</f>
        <v>72000</v>
      </c>
      <c r="G144" s="291">
        <f>F144</f>
        <v>72000</v>
      </c>
      <c r="H144" s="292">
        <v>0</v>
      </c>
      <c r="I144" s="278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194"/>
    </row>
    <row r="145" spans="1:36" ht="15.75">
      <c r="A145" s="512" t="s">
        <v>640</v>
      </c>
      <c r="B145" s="513"/>
      <c r="C145" s="268" t="s">
        <v>567</v>
      </c>
      <c r="D145" s="268" t="s">
        <v>567</v>
      </c>
      <c r="E145" s="268" t="s">
        <v>567</v>
      </c>
      <c r="F145" s="293">
        <f>SUM(F143:F144)</f>
        <v>104000.1</v>
      </c>
      <c r="G145" s="294">
        <f>SUM(G143:G144)</f>
        <v>72000</v>
      </c>
      <c r="H145" s="295">
        <f>SUM(H143:H144)</f>
        <v>32000.100000000002</v>
      </c>
      <c r="I145" s="278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6"/>
      <c r="AI145" s="296"/>
      <c r="AJ145" s="194"/>
    </row>
    <row r="146" spans="1:10" ht="15.75">
      <c r="A146" s="239"/>
      <c r="B146" s="194"/>
      <c r="C146" s="239"/>
      <c r="D146" s="239"/>
      <c r="E146" s="239"/>
      <c r="F146" s="239"/>
      <c r="G146" s="194"/>
      <c r="H146" s="280"/>
      <c r="I146" s="280"/>
      <c r="J146" s="194"/>
    </row>
    <row r="147" spans="1:11" ht="151.5" customHeight="1">
      <c r="A147" s="505" t="s">
        <v>641</v>
      </c>
      <c r="B147" s="505"/>
      <c r="C147" s="505"/>
      <c r="D147" s="505"/>
      <c r="E147" s="505"/>
      <c r="F147" s="505"/>
      <c r="G147" s="505"/>
      <c r="H147" s="505"/>
      <c r="I147" s="505"/>
      <c r="J147" s="505"/>
      <c r="K147" s="505"/>
    </row>
    <row r="148" spans="1:10" ht="15.75">
      <c r="A148" s="239"/>
      <c r="B148" s="194"/>
      <c r="C148" s="239"/>
      <c r="D148" s="239"/>
      <c r="E148" s="239"/>
      <c r="F148" s="239"/>
      <c r="G148" s="194"/>
      <c r="H148" s="280"/>
      <c r="I148" s="280"/>
      <c r="J148" s="194"/>
    </row>
    <row r="149" spans="1:10" ht="15.75">
      <c r="A149" s="285"/>
      <c r="B149" s="285" t="s">
        <v>642</v>
      </c>
      <c r="C149" s="285"/>
      <c r="D149" s="285"/>
      <c r="E149" s="285"/>
      <c r="F149" s="239"/>
      <c r="G149" s="194"/>
      <c r="H149" s="280"/>
      <c r="I149" s="280"/>
      <c r="J149" s="194"/>
    </row>
    <row r="150" spans="1:10" ht="15.75">
      <c r="A150" s="239"/>
      <c r="B150" s="194"/>
      <c r="C150" s="239"/>
      <c r="D150" s="239"/>
      <c r="E150" s="239"/>
      <c r="F150" s="239"/>
      <c r="G150" s="194"/>
      <c r="H150" s="280"/>
      <c r="I150" s="280"/>
      <c r="J150" s="194"/>
    </row>
    <row r="151" spans="1:10" ht="15.75">
      <c r="A151" s="483" t="s">
        <v>550</v>
      </c>
      <c r="B151" s="508" t="s">
        <v>571</v>
      </c>
      <c r="C151" s="508" t="s">
        <v>643</v>
      </c>
      <c r="D151" s="508" t="s">
        <v>644</v>
      </c>
      <c r="E151" s="476" t="s">
        <v>584</v>
      </c>
      <c r="F151" s="509"/>
      <c r="G151" s="477"/>
      <c r="H151" s="259"/>
      <c r="I151" s="280"/>
      <c r="J151" s="194"/>
    </row>
    <row r="152" spans="1:10" ht="31.5">
      <c r="A152" s="484"/>
      <c r="B152" s="508"/>
      <c r="C152" s="508"/>
      <c r="D152" s="508"/>
      <c r="E152" s="272" t="s">
        <v>645</v>
      </c>
      <c r="F152" s="273" t="s">
        <v>562</v>
      </c>
      <c r="G152" s="238" t="s">
        <v>568</v>
      </c>
      <c r="H152" s="274"/>
      <c r="I152" s="280"/>
      <c r="J152" s="194"/>
    </row>
    <row r="153" spans="1:10" ht="15.75">
      <c r="A153" s="283">
        <v>1</v>
      </c>
      <c r="B153" s="284">
        <v>2</v>
      </c>
      <c r="C153" s="284">
        <v>3</v>
      </c>
      <c r="D153" s="284">
        <v>4</v>
      </c>
      <c r="E153" s="276">
        <v>5</v>
      </c>
      <c r="F153" s="232">
        <v>6</v>
      </c>
      <c r="G153" s="231">
        <v>7</v>
      </c>
      <c r="H153" s="233"/>
      <c r="I153" s="280"/>
      <c r="J153" s="194"/>
    </row>
    <row r="154" spans="1:10" ht="15.75">
      <c r="A154" s="202"/>
      <c r="B154" s="198"/>
      <c r="C154" s="204"/>
      <c r="D154" s="204"/>
      <c r="E154" s="277"/>
      <c r="F154" s="257"/>
      <c r="G154" s="277"/>
      <c r="H154" s="278"/>
      <c r="I154" s="280"/>
      <c r="J154" s="194"/>
    </row>
    <row r="155" spans="1:10" ht="15.75">
      <c r="A155" s="202"/>
      <c r="B155" s="198"/>
      <c r="C155" s="204"/>
      <c r="D155" s="204"/>
      <c r="E155" s="277"/>
      <c r="F155" s="257"/>
      <c r="G155" s="277"/>
      <c r="H155" s="278"/>
      <c r="I155" s="280"/>
      <c r="J155" s="194"/>
    </row>
    <row r="156" spans="1:10" ht="15.75">
      <c r="A156" s="503" t="s">
        <v>566</v>
      </c>
      <c r="B156" s="504"/>
      <c r="C156" s="204" t="s">
        <v>567</v>
      </c>
      <c r="D156" s="204" t="s">
        <v>567</v>
      </c>
      <c r="E156" s="277"/>
      <c r="F156" s="257"/>
      <c r="G156" s="277"/>
      <c r="H156" s="278"/>
      <c r="I156" s="280"/>
      <c r="J156" s="194"/>
    </row>
    <row r="157" spans="1:10" ht="15.75">
      <c r="A157" s="239"/>
      <c r="B157" s="194"/>
      <c r="C157" s="239"/>
      <c r="D157" s="239"/>
      <c r="E157" s="239"/>
      <c r="F157" s="239"/>
      <c r="G157" s="194"/>
      <c r="H157" s="280"/>
      <c r="I157" s="280"/>
      <c r="J157" s="194"/>
    </row>
    <row r="158" spans="1:11" ht="36" customHeight="1">
      <c r="A158" s="511" t="s">
        <v>646</v>
      </c>
      <c r="B158" s="511"/>
      <c r="C158" s="511"/>
      <c r="D158" s="511"/>
      <c r="E158" s="511"/>
      <c r="F158" s="511"/>
      <c r="G158" s="511"/>
      <c r="H158" s="511"/>
      <c r="I158" s="511"/>
      <c r="J158" s="511"/>
      <c r="K158" s="511"/>
    </row>
    <row r="159" spans="1:10" ht="15.75">
      <c r="A159" s="239"/>
      <c r="B159" s="194"/>
      <c r="C159" s="239"/>
      <c r="D159" s="239"/>
      <c r="E159" s="239"/>
      <c r="F159" s="239"/>
      <c r="G159" s="194"/>
      <c r="H159" s="280"/>
      <c r="I159" s="280"/>
      <c r="J159" s="194"/>
    </row>
    <row r="160" spans="1:10" ht="15.75">
      <c r="A160" s="285"/>
      <c r="B160" s="285" t="s">
        <v>647</v>
      </c>
      <c r="C160" s="285"/>
      <c r="D160" s="285"/>
      <c r="E160" s="285"/>
      <c r="F160" s="285"/>
      <c r="G160" s="194"/>
      <c r="H160" s="280"/>
      <c r="I160" s="280"/>
      <c r="J160" s="194"/>
    </row>
    <row r="161" spans="1:10" ht="15.75">
      <c r="A161" s="239"/>
      <c r="B161" s="194"/>
      <c r="C161" s="239"/>
      <c r="D161" s="239"/>
      <c r="E161" s="239"/>
      <c r="F161" s="239"/>
      <c r="G161" s="194"/>
      <c r="H161" s="280"/>
      <c r="I161" s="280"/>
      <c r="J161" s="194"/>
    </row>
    <row r="162" spans="1:10" ht="15.75" customHeight="1">
      <c r="A162" s="483" t="s">
        <v>550</v>
      </c>
      <c r="B162" s="508" t="s">
        <v>1</v>
      </c>
      <c r="C162" s="508" t="s">
        <v>648</v>
      </c>
      <c r="D162" s="508" t="s">
        <v>649</v>
      </c>
      <c r="E162" s="508" t="s">
        <v>650</v>
      </c>
      <c r="F162" s="476" t="s">
        <v>584</v>
      </c>
      <c r="G162" s="509"/>
      <c r="H162" s="477"/>
      <c r="I162" s="259"/>
      <c r="J162" s="194"/>
    </row>
    <row r="163" spans="1:10" ht="47.25">
      <c r="A163" s="484"/>
      <c r="B163" s="508"/>
      <c r="C163" s="508"/>
      <c r="D163" s="508"/>
      <c r="E163" s="508"/>
      <c r="F163" s="271" t="s">
        <v>637</v>
      </c>
      <c r="G163" s="238" t="s">
        <v>562</v>
      </c>
      <c r="H163" s="238" t="s">
        <v>568</v>
      </c>
      <c r="I163" s="274"/>
      <c r="J163" s="194"/>
    </row>
    <row r="164" spans="1:10" ht="15.75">
      <c r="A164" s="203">
        <v>1</v>
      </c>
      <c r="B164" s="203">
        <v>2</v>
      </c>
      <c r="C164" s="203">
        <v>3</v>
      </c>
      <c r="D164" s="203">
        <v>4</v>
      </c>
      <c r="E164" s="203">
        <v>5</v>
      </c>
      <c r="F164" s="206">
        <v>6</v>
      </c>
      <c r="G164" s="231">
        <v>7</v>
      </c>
      <c r="H164" s="231">
        <v>8</v>
      </c>
      <c r="I164" s="233"/>
      <c r="J164" s="194"/>
    </row>
    <row r="165" spans="1:10" ht="15.75">
      <c r="A165" s="297" t="s">
        <v>613</v>
      </c>
      <c r="B165" s="298" t="s">
        <v>651</v>
      </c>
      <c r="C165" s="299">
        <f>675.25-5</f>
        <v>670.25</v>
      </c>
      <c r="D165" s="299">
        <v>1860.27</v>
      </c>
      <c r="E165" s="299">
        <v>0</v>
      </c>
      <c r="F165" s="300">
        <f>SUM(G165:H165)</f>
        <v>1231409.94</v>
      </c>
      <c r="G165" s="300">
        <v>0</v>
      </c>
      <c r="H165" s="267">
        <f>ROUND(C165*D165,2)-15436.03</f>
        <v>1231409.94</v>
      </c>
      <c r="I165" s="278"/>
      <c r="J165" s="194"/>
    </row>
    <row r="166" spans="1:10" ht="15.75">
      <c r="A166" s="297" t="s">
        <v>593</v>
      </c>
      <c r="B166" s="301" t="s">
        <v>652</v>
      </c>
      <c r="C166" s="302">
        <f>97108-22684</f>
        <v>74424</v>
      </c>
      <c r="D166" s="302">
        <v>6.32</v>
      </c>
      <c r="E166" s="299">
        <v>0</v>
      </c>
      <c r="F166" s="300">
        <f>SUM(G166:H166)</f>
        <v>470359.68</v>
      </c>
      <c r="G166" s="267"/>
      <c r="H166" s="267">
        <f>ROUND(C166*D166,2)</f>
        <v>470359.68</v>
      </c>
      <c r="I166" s="278"/>
      <c r="J166" s="194"/>
    </row>
    <row r="167" spans="1:10" ht="31.5">
      <c r="A167" s="297" t="s">
        <v>604</v>
      </c>
      <c r="B167" s="301" t="s">
        <v>653</v>
      </c>
      <c r="C167" s="302">
        <v>3054</v>
      </c>
      <c r="D167" s="302">
        <v>40.98</v>
      </c>
      <c r="E167" s="299">
        <v>0</v>
      </c>
      <c r="F167" s="300">
        <f>SUM(G167:H167)</f>
        <v>125152.92</v>
      </c>
      <c r="G167" s="267"/>
      <c r="H167" s="267">
        <f>ROUND(C167*D167,2)</f>
        <v>125152.92</v>
      </c>
      <c r="I167" s="278"/>
      <c r="J167" s="194"/>
    </row>
    <row r="168" spans="1:10" ht="18.75">
      <c r="A168" s="506" t="s">
        <v>640</v>
      </c>
      <c r="B168" s="507"/>
      <c r="C168" s="303" t="s">
        <v>567</v>
      </c>
      <c r="D168" s="303" t="s">
        <v>567</v>
      </c>
      <c r="E168" s="303" t="s">
        <v>567</v>
      </c>
      <c r="F168" s="304">
        <f>SUM(F165:F167)</f>
        <v>1826922.5399999998</v>
      </c>
      <c r="G168" s="304">
        <f>SUM(G165:G167)</f>
        <v>0</v>
      </c>
      <c r="H168" s="304">
        <f>SUM(H165:H167)</f>
        <v>1826922.5399999998</v>
      </c>
      <c r="I168" s="278"/>
      <c r="J168" s="194"/>
    </row>
    <row r="169" spans="1:10" ht="15.75">
      <c r="A169" s="239"/>
      <c r="B169" s="194"/>
      <c r="C169" s="239"/>
      <c r="D169" s="239"/>
      <c r="E169" s="239"/>
      <c r="F169" s="239"/>
      <c r="G169" s="194"/>
      <c r="H169" s="280"/>
      <c r="I169" s="280"/>
      <c r="J169" s="194"/>
    </row>
    <row r="170" spans="1:11" ht="66.75" customHeight="1">
      <c r="A170" s="505" t="s">
        <v>654</v>
      </c>
      <c r="B170" s="511"/>
      <c r="C170" s="511"/>
      <c r="D170" s="511"/>
      <c r="E170" s="511"/>
      <c r="F170" s="511"/>
      <c r="G170" s="511"/>
      <c r="H170" s="511"/>
      <c r="I170" s="511"/>
      <c r="J170" s="511"/>
      <c r="K170" s="511"/>
    </row>
    <row r="171" spans="1:10" ht="15.75">
      <c r="A171" s="239"/>
      <c r="B171" s="194"/>
      <c r="C171" s="239"/>
      <c r="D171" s="239"/>
      <c r="E171" s="239"/>
      <c r="F171" s="239"/>
      <c r="G171" s="194"/>
      <c r="H171" s="280"/>
      <c r="I171" s="280"/>
      <c r="J171" s="194"/>
    </row>
    <row r="172" spans="1:10" ht="15.75">
      <c r="A172" s="285"/>
      <c r="B172" s="285" t="s">
        <v>655</v>
      </c>
      <c r="C172" s="285"/>
      <c r="D172" s="285"/>
      <c r="E172" s="285"/>
      <c r="F172" s="239"/>
      <c r="G172" s="194"/>
      <c r="H172" s="280"/>
      <c r="I172" s="280"/>
      <c r="J172" s="194"/>
    </row>
    <row r="173" spans="1:10" ht="15.75">
      <c r="A173" s="239"/>
      <c r="B173" s="194"/>
      <c r="C173" s="239"/>
      <c r="D173" s="239"/>
      <c r="E173" s="239"/>
      <c r="F173" s="239"/>
      <c r="G173" s="194"/>
      <c r="H173" s="280"/>
      <c r="I173" s="280"/>
      <c r="J173" s="194"/>
    </row>
    <row r="174" spans="1:10" ht="15.75">
      <c r="A174" s="483" t="s">
        <v>550</v>
      </c>
      <c r="B174" s="508" t="s">
        <v>1</v>
      </c>
      <c r="C174" s="508" t="s">
        <v>656</v>
      </c>
      <c r="D174" s="508" t="s">
        <v>657</v>
      </c>
      <c r="E174" s="476" t="s">
        <v>584</v>
      </c>
      <c r="F174" s="509"/>
      <c r="G174" s="477"/>
      <c r="H174" s="259"/>
      <c r="I174" s="280"/>
      <c r="J174" s="194"/>
    </row>
    <row r="175" spans="1:10" ht="47.25">
      <c r="A175" s="484"/>
      <c r="B175" s="508"/>
      <c r="C175" s="508"/>
      <c r="D175" s="508"/>
      <c r="E175" s="272" t="s">
        <v>658</v>
      </c>
      <c r="F175" s="273" t="s">
        <v>562</v>
      </c>
      <c r="G175" s="238" t="s">
        <v>568</v>
      </c>
      <c r="H175" s="274"/>
      <c r="I175" s="280"/>
      <c r="J175" s="194"/>
    </row>
    <row r="176" spans="1:10" ht="15.75">
      <c r="A176" s="283">
        <v>1</v>
      </c>
      <c r="B176" s="284">
        <v>2</v>
      </c>
      <c r="C176" s="284">
        <v>3</v>
      </c>
      <c r="D176" s="284">
        <v>4</v>
      </c>
      <c r="E176" s="276">
        <v>5</v>
      </c>
      <c r="F176" s="232">
        <v>5</v>
      </c>
      <c r="G176" s="231">
        <v>6</v>
      </c>
      <c r="H176" s="233"/>
      <c r="I176" s="280"/>
      <c r="J176" s="194"/>
    </row>
    <row r="177" spans="1:10" ht="15.75">
      <c r="A177" s="202"/>
      <c r="B177" s="198"/>
      <c r="C177" s="204"/>
      <c r="D177" s="204"/>
      <c r="E177" s="277"/>
      <c r="F177" s="257"/>
      <c r="G177" s="277"/>
      <c r="H177" s="278"/>
      <c r="I177" s="280"/>
      <c r="J177" s="194"/>
    </row>
    <row r="178" spans="1:10" ht="15.75">
      <c r="A178" s="202"/>
      <c r="B178" s="198"/>
      <c r="C178" s="204"/>
      <c r="D178" s="204"/>
      <c r="E178" s="277"/>
      <c r="F178" s="257"/>
      <c r="G178" s="277"/>
      <c r="H178" s="278"/>
      <c r="I178" s="280"/>
      <c r="J178" s="194"/>
    </row>
    <row r="179" spans="1:10" ht="15.75">
      <c r="A179" s="503" t="s">
        <v>566</v>
      </c>
      <c r="B179" s="504"/>
      <c r="C179" s="204" t="s">
        <v>567</v>
      </c>
      <c r="D179" s="204" t="s">
        <v>567</v>
      </c>
      <c r="E179" s="277" t="s">
        <v>567</v>
      </c>
      <c r="F179" s="257"/>
      <c r="G179" s="277"/>
      <c r="H179" s="278"/>
      <c r="I179" s="280"/>
      <c r="J179" s="194"/>
    </row>
    <row r="180" spans="1:10" ht="15.75">
      <c r="A180" s="239"/>
      <c r="B180" s="194"/>
      <c r="C180" s="239"/>
      <c r="D180" s="239"/>
      <c r="E180" s="239"/>
      <c r="F180" s="239"/>
      <c r="G180" s="194"/>
      <c r="H180" s="280"/>
      <c r="I180" s="280"/>
      <c r="J180" s="194"/>
    </row>
    <row r="181" spans="1:11" ht="48" customHeight="1">
      <c r="A181" s="510" t="s">
        <v>659</v>
      </c>
      <c r="B181" s="510"/>
      <c r="C181" s="510"/>
      <c r="D181" s="510"/>
      <c r="E181" s="510"/>
      <c r="F181" s="510"/>
      <c r="G181" s="510"/>
      <c r="H181" s="510"/>
      <c r="I181" s="510"/>
      <c r="J181" s="510"/>
      <c r="K181" s="510"/>
    </row>
    <row r="182" spans="1:10" ht="15.75">
      <c r="A182" s="239"/>
      <c r="B182" s="194"/>
      <c r="C182" s="239"/>
      <c r="D182" s="239"/>
      <c r="E182" s="239"/>
      <c r="F182" s="239"/>
      <c r="G182" s="194"/>
      <c r="H182" s="280"/>
      <c r="I182" s="280"/>
      <c r="J182" s="194"/>
    </row>
    <row r="183" spans="1:10" ht="15.75">
      <c r="A183" s="285"/>
      <c r="B183" s="285" t="s">
        <v>660</v>
      </c>
      <c r="C183" s="285"/>
      <c r="D183" s="285"/>
      <c r="E183" s="285"/>
      <c r="F183" s="285"/>
      <c r="G183" s="194"/>
      <c r="H183" s="280"/>
      <c r="I183" s="280"/>
      <c r="J183" s="194"/>
    </row>
    <row r="184" spans="1:10" ht="15.75">
      <c r="A184" s="239"/>
      <c r="B184" s="194"/>
      <c r="C184" s="239"/>
      <c r="D184" s="239"/>
      <c r="E184" s="239"/>
      <c r="F184" s="239"/>
      <c r="G184" s="194"/>
      <c r="H184" s="280"/>
      <c r="I184" s="280"/>
      <c r="J184" s="194"/>
    </row>
    <row r="185" spans="1:10" ht="15.75">
      <c r="A185" s="483" t="s">
        <v>550</v>
      </c>
      <c r="B185" s="508" t="s">
        <v>571</v>
      </c>
      <c r="C185" s="508" t="s">
        <v>661</v>
      </c>
      <c r="D185" s="508" t="s">
        <v>662</v>
      </c>
      <c r="E185" s="476" t="s">
        <v>584</v>
      </c>
      <c r="F185" s="509"/>
      <c r="G185" s="477"/>
      <c r="H185" s="259"/>
      <c r="I185" s="280"/>
      <c r="J185" s="194"/>
    </row>
    <row r="186" spans="1:10" ht="47.25">
      <c r="A186" s="484"/>
      <c r="B186" s="508"/>
      <c r="C186" s="508"/>
      <c r="D186" s="508"/>
      <c r="E186" s="272" t="s">
        <v>663</v>
      </c>
      <c r="F186" s="273" t="s">
        <v>562</v>
      </c>
      <c r="G186" s="238" t="s">
        <v>568</v>
      </c>
      <c r="H186" s="274"/>
      <c r="I186" s="280"/>
      <c r="J186" s="194"/>
    </row>
    <row r="187" spans="1:10" ht="15.75">
      <c r="A187" s="283">
        <v>1</v>
      </c>
      <c r="B187" s="284">
        <v>2</v>
      </c>
      <c r="C187" s="284">
        <v>3</v>
      </c>
      <c r="D187" s="284">
        <v>4</v>
      </c>
      <c r="E187" s="276">
        <v>5</v>
      </c>
      <c r="F187" s="232">
        <v>5</v>
      </c>
      <c r="G187" s="231">
        <v>6</v>
      </c>
      <c r="H187" s="233"/>
      <c r="I187" s="280"/>
      <c r="J187" s="194"/>
    </row>
    <row r="188" spans="1:10" ht="15.75">
      <c r="A188" s="283">
        <v>1</v>
      </c>
      <c r="B188" s="305" t="s">
        <v>664</v>
      </c>
      <c r="C188" s="284" t="s">
        <v>665</v>
      </c>
      <c r="D188" s="306">
        <v>24</v>
      </c>
      <c r="E188" s="307">
        <f>SUM(F188:G188)</f>
        <v>35098.29</v>
      </c>
      <c r="F188" s="307">
        <v>0</v>
      </c>
      <c r="G188" s="307">
        <v>35098.29</v>
      </c>
      <c r="H188" s="233"/>
      <c r="I188" s="280"/>
      <c r="J188" s="194"/>
    </row>
    <row r="189" spans="1:10" ht="15.75">
      <c r="A189" s="283">
        <v>2</v>
      </c>
      <c r="B189" s="305" t="s">
        <v>666</v>
      </c>
      <c r="C189" s="284" t="s">
        <v>665</v>
      </c>
      <c r="D189" s="306">
        <v>3117.73</v>
      </c>
      <c r="E189" s="307">
        <f aca="true" t="shared" si="0" ref="E189:E199">SUM(F189:G189)</f>
        <v>33342.32</v>
      </c>
      <c r="F189" s="307">
        <v>0</v>
      </c>
      <c r="G189" s="307">
        <v>33342.32</v>
      </c>
      <c r="H189" s="233"/>
      <c r="I189" s="280"/>
      <c r="J189" s="194"/>
    </row>
    <row r="190" spans="1:10" ht="31.5">
      <c r="A190" s="283">
        <v>3</v>
      </c>
      <c r="B190" s="305" t="s">
        <v>667</v>
      </c>
      <c r="C190" s="284" t="s">
        <v>665</v>
      </c>
      <c r="D190" s="306">
        <v>12</v>
      </c>
      <c r="E190" s="307">
        <f t="shared" si="0"/>
        <v>99600</v>
      </c>
      <c r="F190" s="307">
        <v>0</v>
      </c>
      <c r="G190" s="307">
        <v>99600</v>
      </c>
      <c r="H190" s="233"/>
      <c r="I190" s="280"/>
      <c r="J190" s="194"/>
    </row>
    <row r="191" spans="1:10" ht="31.5">
      <c r="A191" s="283">
        <v>4</v>
      </c>
      <c r="B191" s="305" t="s">
        <v>667</v>
      </c>
      <c r="C191" s="284" t="s">
        <v>665</v>
      </c>
      <c r="D191" s="306">
        <v>12</v>
      </c>
      <c r="E191" s="307">
        <f t="shared" si="0"/>
        <v>34800</v>
      </c>
      <c r="F191" s="307">
        <v>0</v>
      </c>
      <c r="G191" s="307">
        <v>34800</v>
      </c>
      <c r="H191" s="233"/>
      <c r="I191" s="280"/>
      <c r="J191" s="194"/>
    </row>
    <row r="192" spans="1:10" ht="15.75">
      <c r="A192" s="283">
        <v>5</v>
      </c>
      <c r="B192" s="305" t="s">
        <v>668</v>
      </c>
      <c r="C192" s="284" t="s">
        <v>665</v>
      </c>
      <c r="D192" s="306">
        <v>12</v>
      </c>
      <c r="E192" s="307">
        <f t="shared" si="0"/>
        <v>653000</v>
      </c>
      <c r="F192" s="307">
        <v>0</v>
      </c>
      <c r="G192" s="307">
        <f>363000+290000</f>
        <v>653000</v>
      </c>
      <c r="H192" s="233"/>
      <c r="I192" s="280"/>
      <c r="J192" s="194"/>
    </row>
    <row r="193" spans="1:10" ht="31.5">
      <c r="A193" s="283">
        <v>6</v>
      </c>
      <c r="B193" s="305" t="s">
        <v>669</v>
      </c>
      <c r="C193" s="284" t="s">
        <v>665</v>
      </c>
      <c r="D193" s="306">
        <v>12</v>
      </c>
      <c r="E193" s="307">
        <f t="shared" si="0"/>
        <v>341148.86</v>
      </c>
      <c r="F193" s="307">
        <f>134297.86-1352</f>
        <v>132945.86</v>
      </c>
      <c r="G193" s="307">
        <v>208203</v>
      </c>
      <c r="H193" s="233"/>
      <c r="I193" s="280"/>
      <c r="J193" s="194"/>
    </row>
    <row r="194" spans="1:10" ht="15.75">
      <c r="A194" s="283">
        <v>7</v>
      </c>
      <c r="B194" s="305" t="s">
        <v>670</v>
      </c>
      <c r="C194" s="284" t="s">
        <v>665</v>
      </c>
      <c r="D194" s="306">
        <v>1</v>
      </c>
      <c r="E194" s="307">
        <f t="shared" si="0"/>
        <v>11000</v>
      </c>
      <c r="F194" s="307">
        <v>0</v>
      </c>
      <c r="G194" s="307">
        <v>11000</v>
      </c>
      <c r="H194" s="233"/>
      <c r="I194" s="280"/>
      <c r="J194" s="194"/>
    </row>
    <row r="195" spans="1:10" ht="15.75">
      <c r="A195" s="283">
        <v>8</v>
      </c>
      <c r="B195" s="305" t="s">
        <v>671</v>
      </c>
      <c r="C195" s="284" t="s">
        <v>665</v>
      </c>
      <c r="D195" s="306">
        <v>1</v>
      </c>
      <c r="E195" s="307">
        <f t="shared" si="0"/>
        <v>31000</v>
      </c>
      <c r="F195" s="307">
        <v>0</v>
      </c>
      <c r="G195" s="307">
        <v>31000</v>
      </c>
      <c r="H195" s="233"/>
      <c r="I195" s="280"/>
      <c r="J195" s="194"/>
    </row>
    <row r="196" spans="1:10" ht="15.75">
      <c r="A196" s="283">
        <v>9</v>
      </c>
      <c r="B196" s="305" t="s">
        <v>672</v>
      </c>
      <c r="C196" s="284" t="s">
        <v>665</v>
      </c>
      <c r="D196" s="306">
        <v>12</v>
      </c>
      <c r="E196" s="307">
        <f t="shared" si="0"/>
        <v>18000</v>
      </c>
      <c r="F196" s="307">
        <v>0</v>
      </c>
      <c r="G196" s="307">
        <v>18000</v>
      </c>
      <c r="H196" s="233"/>
      <c r="I196" s="280"/>
      <c r="J196" s="194"/>
    </row>
    <row r="197" spans="1:10" ht="15.75">
      <c r="A197" s="283">
        <v>10</v>
      </c>
      <c r="B197" s="305" t="s">
        <v>673</v>
      </c>
      <c r="C197" s="284" t="s">
        <v>665</v>
      </c>
      <c r="D197" s="306">
        <v>1</v>
      </c>
      <c r="E197" s="307">
        <f t="shared" si="0"/>
        <v>60000</v>
      </c>
      <c r="F197" s="307">
        <v>0</v>
      </c>
      <c r="G197" s="307">
        <v>60000</v>
      </c>
      <c r="H197" s="233"/>
      <c r="I197" s="280"/>
      <c r="J197" s="194"/>
    </row>
    <row r="198" spans="1:10" ht="31.5">
      <c r="A198" s="283">
        <v>11</v>
      </c>
      <c r="B198" s="305" t="s">
        <v>674</v>
      </c>
      <c r="C198" s="284" t="s">
        <v>665</v>
      </c>
      <c r="D198" s="306">
        <v>6</v>
      </c>
      <c r="E198" s="307">
        <f t="shared" si="0"/>
        <v>883838.66</v>
      </c>
      <c r="F198" s="307">
        <v>0</v>
      </c>
      <c r="G198" s="307">
        <f>866282.74-7296.84-2948.67+153338.31-62576.47-62960.41</f>
        <v>883838.66</v>
      </c>
      <c r="H198" s="233"/>
      <c r="I198" s="280"/>
      <c r="J198" s="194"/>
    </row>
    <row r="199" spans="1:10" ht="31.5">
      <c r="A199" s="283">
        <v>12</v>
      </c>
      <c r="B199" s="305" t="s">
        <v>675</v>
      </c>
      <c r="C199" s="284" t="s">
        <v>665</v>
      </c>
      <c r="D199" s="306">
        <v>4</v>
      </c>
      <c r="E199" s="307">
        <f t="shared" si="0"/>
        <v>70000</v>
      </c>
      <c r="F199" s="307">
        <v>0</v>
      </c>
      <c r="G199" s="307">
        <v>70000</v>
      </c>
      <c r="H199" s="233"/>
      <c r="I199" s="280"/>
      <c r="J199" s="194"/>
    </row>
    <row r="200" spans="1:10" ht="18.75">
      <c r="A200" s="506" t="s">
        <v>566</v>
      </c>
      <c r="B200" s="507"/>
      <c r="C200" s="308" t="s">
        <v>567</v>
      </c>
      <c r="D200" s="308" t="s">
        <v>567</v>
      </c>
      <c r="E200" s="309">
        <f>SUM(E188:E199)</f>
        <v>2270828.13</v>
      </c>
      <c r="F200" s="310">
        <f>SUM(F188:F199)</f>
        <v>132945.86</v>
      </c>
      <c r="G200" s="309">
        <f>SUM(G188:G199)</f>
        <v>2137882.27</v>
      </c>
      <c r="H200" s="233"/>
      <c r="I200" s="280"/>
      <c r="J200" s="194"/>
    </row>
    <row r="201" spans="1:10" ht="15.75">
      <c r="A201" s="283"/>
      <c r="B201" s="284"/>
      <c r="C201" s="284"/>
      <c r="D201" s="284"/>
      <c r="E201" s="276"/>
      <c r="F201" s="232"/>
      <c r="G201" s="231"/>
      <c r="H201" s="233"/>
      <c r="I201" s="280"/>
      <c r="J201" s="194"/>
    </row>
    <row r="202" spans="1:11" ht="53.25" customHeight="1">
      <c r="A202" s="505" t="s">
        <v>676</v>
      </c>
      <c r="B202" s="505"/>
      <c r="C202" s="505"/>
      <c r="D202" s="505"/>
      <c r="E202" s="505"/>
      <c r="F202" s="505"/>
      <c r="G202" s="505"/>
      <c r="H202" s="505"/>
      <c r="I202" s="505"/>
      <c r="J202" s="505"/>
      <c r="K202" s="505"/>
    </row>
    <row r="203" spans="1:10" ht="15.75">
      <c r="A203" s="239"/>
      <c r="B203" s="194"/>
      <c r="C203" s="239"/>
      <c r="D203" s="239"/>
      <c r="E203" s="239"/>
      <c r="F203" s="239"/>
      <c r="G203" s="194"/>
      <c r="H203" s="280"/>
      <c r="I203" s="280"/>
      <c r="J203" s="194"/>
    </row>
    <row r="204" spans="1:10" ht="15.75">
      <c r="A204" s="285"/>
      <c r="B204" s="285" t="s">
        <v>677</v>
      </c>
      <c r="C204" s="285"/>
      <c r="D204" s="285"/>
      <c r="E204" s="285"/>
      <c r="F204" s="239"/>
      <c r="G204" s="194"/>
      <c r="H204" s="280"/>
      <c r="I204" s="280"/>
      <c r="J204" s="194"/>
    </row>
    <row r="205" spans="1:10" ht="15.75">
      <c r="A205" s="239"/>
      <c r="B205" s="194"/>
      <c r="C205" s="239"/>
      <c r="D205" s="239"/>
      <c r="E205" s="239"/>
      <c r="F205" s="239"/>
      <c r="G205" s="194"/>
      <c r="H205" s="280"/>
      <c r="I205" s="280"/>
      <c r="J205" s="194"/>
    </row>
    <row r="206" spans="1:10" ht="15.75">
      <c r="A206" s="483" t="s">
        <v>550</v>
      </c>
      <c r="B206" s="508" t="s">
        <v>1</v>
      </c>
      <c r="C206" s="508" t="s">
        <v>678</v>
      </c>
      <c r="D206" s="476" t="s">
        <v>584</v>
      </c>
      <c r="E206" s="509"/>
      <c r="F206" s="477"/>
      <c r="G206" s="259"/>
      <c r="H206" s="280"/>
      <c r="I206" s="280"/>
      <c r="J206" s="194"/>
    </row>
    <row r="207" spans="1:10" ht="31.5">
      <c r="A207" s="484"/>
      <c r="B207" s="508"/>
      <c r="C207" s="508"/>
      <c r="D207" s="272" t="s">
        <v>679</v>
      </c>
      <c r="E207" s="238" t="s">
        <v>562</v>
      </c>
      <c r="F207" s="238" t="s">
        <v>568</v>
      </c>
      <c r="G207" s="274"/>
      <c r="H207" s="280"/>
      <c r="I207" s="280"/>
      <c r="J207" s="194"/>
    </row>
    <row r="208" spans="1:10" ht="15.75">
      <c r="A208" s="283">
        <v>1</v>
      </c>
      <c r="B208" s="284">
        <v>2</v>
      </c>
      <c r="C208" s="284">
        <v>3</v>
      </c>
      <c r="D208" s="276">
        <v>5</v>
      </c>
      <c r="E208" s="231">
        <v>5</v>
      </c>
      <c r="F208" s="231">
        <v>6</v>
      </c>
      <c r="G208" s="233"/>
      <c r="H208" s="280"/>
      <c r="I208" s="280"/>
      <c r="J208" s="194"/>
    </row>
    <row r="209" spans="1:10" ht="63">
      <c r="A209" s="283">
        <v>1</v>
      </c>
      <c r="B209" s="298" t="s">
        <v>680</v>
      </c>
      <c r="C209" s="298">
        <v>5</v>
      </c>
      <c r="D209" s="292">
        <f>SUM(E209:F209)</f>
        <v>130583.95999999999</v>
      </c>
      <c r="E209" s="311">
        <v>71269</v>
      </c>
      <c r="F209" s="311">
        <f>160583.06-101268.1</f>
        <v>59314.95999999999</v>
      </c>
      <c r="G209" s="233"/>
      <c r="H209" s="280"/>
      <c r="I209" s="280"/>
      <c r="J209" s="194"/>
    </row>
    <row r="210" spans="1:10" ht="47.25">
      <c r="A210" s="283">
        <v>2</v>
      </c>
      <c r="B210" s="298" t="s">
        <v>681</v>
      </c>
      <c r="C210" s="298">
        <v>5</v>
      </c>
      <c r="D210" s="292">
        <f>SUM(E210:F210)</f>
        <v>56872.94</v>
      </c>
      <c r="E210" s="292">
        <v>30000</v>
      </c>
      <c r="F210" s="292">
        <v>26872.94</v>
      </c>
      <c r="G210" s="233"/>
      <c r="H210" s="280"/>
      <c r="I210" s="280"/>
      <c r="J210" s="194"/>
    </row>
    <row r="211" spans="1:10" ht="15.75">
      <c r="A211" s="283">
        <v>3</v>
      </c>
      <c r="B211" s="298" t="s">
        <v>682</v>
      </c>
      <c r="C211" s="298">
        <v>2</v>
      </c>
      <c r="D211" s="292">
        <f>SUM(E211:F211)</f>
        <v>40000</v>
      </c>
      <c r="E211" s="292">
        <v>0</v>
      </c>
      <c r="F211" s="292">
        <v>40000</v>
      </c>
      <c r="G211" s="233"/>
      <c r="H211" s="280"/>
      <c r="I211" s="280"/>
      <c r="J211" s="194"/>
    </row>
    <row r="212" spans="1:10" ht="15.75">
      <c r="A212" s="283">
        <v>4</v>
      </c>
      <c r="B212" s="298" t="s">
        <v>683</v>
      </c>
      <c r="C212" s="298">
        <v>1</v>
      </c>
      <c r="D212" s="292">
        <f>SUM(E212:F212)</f>
        <v>78000</v>
      </c>
      <c r="E212" s="292">
        <v>0</v>
      </c>
      <c r="F212" s="292">
        <v>78000</v>
      </c>
      <c r="G212" s="233"/>
      <c r="H212" s="280"/>
      <c r="I212" s="280"/>
      <c r="J212" s="194"/>
    </row>
    <row r="213" spans="1:10" ht="15.75">
      <c r="A213" s="503" t="s">
        <v>566</v>
      </c>
      <c r="B213" s="504"/>
      <c r="C213" s="204" t="s">
        <v>567</v>
      </c>
      <c r="D213" s="295">
        <f>SUM(D209:D212)</f>
        <v>305456.9</v>
      </c>
      <c r="E213" s="295">
        <f>SUM(E209:E212)</f>
        <v>101269</v>
      </c>
      <c r="F213" s="295">
        <f>SUM(F209:F212)</f>
        <v>204187.9</v>
      </c>
      <c r="G213" s="278"/>
      <c r="H213" s="280"/>
      <c r="I213" s="280"/>
      <c r="J213" s="194"/>
    </row>
    <row r="214" spans="1:10" ht="15.75">
      <c r="A214" s="239"/>
      <c r="B214" s="194"/>
      <c r="C214" s="239"/>
      <c r="D214" s="239"/>
      <c r="E214" s="239"/>
      <c r="F214" s="239"/>
      <c r="G214" s="194"/>
      <c r="H214" s="280"/>
      <c r="I214" s="280"/>
      <c r="J214" s="194"/>
    </row>
    <row r="215" spans="1:11" ht="149.25" customHeight="1">
      <c r="A215" s="505" t="s">
        <v>684</v>
      </c>
      <c r="B215" s="505"/>
      <c r="C215" s="505"/>
      <c r="D215" s="505"/>
      <c r="E215" s="505"/>
      <c r="F215" s="505"/>
      <c r="G215" s="505"/>
      <c r="H215" s="505"/>
      <c r="I215" s="505"/>
      <c r="J215" s="505"/>
      <c r="K215" s="505"/>
    </row>
    <row r="216" spans="1:10" ht="15.75">
      <c r="A216" s="239"/>
      <c r="B216" s="194"/>
      <c r="C216" s="239"/>
      <c r="D216" s="239"/>
      <c r="E216" s="239"/>
      <c r="F216" s="239"/>
      <c r="G216" s="194"/>
      <c r="H216" s="280"/>
      <c r="I216" s="280"/>
      <c r="J216" s="194"/>
    </row>
    <row r="217" spans="1:4" ht="15.75">
      <c r="A217" s="196"/>
      <c r="B217" s="196" t="s">
        <v>685</v>
      </c>
      <c r="C217" s="196"/>
      <c r="D217" s="196"/>
    </row>
    <row r="218" ht="15.75">
      <c r="B218" s="187"/>
    </row>
    <row r="219" spans="1:10" ht="25.5" customHeight="1">
      <c r="A219" s="483" t="s">
        <v>550</v>
      </c>
      <c r="B219" s="483" t="s">
        <v>571</v>
      </c>
      <c r="C219" s="485"/>
      <c r="D219" s="487" t="s">
        <v>656</v>
      </c>
      <c r="E219" s="489" t="s">
        <v>686</v>
      </c>
      <c r="F219" s="491" t="s">
        <v>584</v>
      </c>
      <c r="G219" s="491"/>
      <c r="H219" s="491"/>
      <c r="I219" s="312"/>
      <c r="J219" s="228"/>
    </row>
    <row r="220" spans="1:10" ht="54.75" customHeight="1">
      <c r="A220" s="484"/>
      <c r="B220" s="484"/>
      <c r="C220" s="486"/>
      <c r="D220" s="488"/>
      <c r="E220" s="490"/>
      <c r="F220" s="229" t="s">
        <v>687</v>
      </c>
      <c r="G220" s="229" t="s">
        <v>562</v>
      </c>
      <c r="H220" s="229" t="s">
        <v>568</v>
      </c>
      <c r="I220" s="194"/>
      <c r="J220" s="230"/>
    </row>
    <row r="221" spans="1:10" ht="15.75" customHeight="1">
      <c r="A221" s="234">
        <v>1</v>
      </c>
      <c r="B221" s="492">
        <v>2</v>
      </c>
      <c r="C221" s="493"/>
      <c r="D221" s="234">
        <v>3</v>
      </c>
      <c r="E221" s="234">
        <v>4</v>
      </c>
      <c r="F221" s="234">
        <v>5</v>
      </c>
      <c r="G221" s="234">
        <v>6</v>
      </c>
      <c r="H221" s="234">
        <v>7</v>
      </c>
      <c r="I221" s="280"/>
      <c r="J221" s="280"/>
    </row>
    <row r="222" spans="1:10" ht="15.75">
      <c r="A222" s="208">
        <v>1</v>
      </c>
      <c r="B222" s="501" t="s">
        <v>688</v>
      </c>
      <c r="C222" s="502"/>
      <c r="D222" s="306">
        <v>1782</v>
      </c>
      <c r="E222" s="307">
        <v>250</v>
      </c>
      <c r="F222" s="307">
        <f>SUM(G222:H222)</f>
        <v>417999.89999999997</v>
      </c>
      <c r="G222" s="307">
        <f>450000-50210.39</f>
        <v>399789.61</v>
      </c>
      <c r="H222" s="314">
        <v>18210.29</v>
      </c>
      <c r="I222" s="280"/>
      <c r="J222" s="194"/>
    </row>
    <row r="223" spans="1:10" ht="15.75">
      <c r="A223" s="208">
        <v>2</v>
      </c>
      <c r="B223" s="501" t="s">
        <v>689</v>
      </c>
      <c r="C223" s="502"/>
      <c r="D223" s="306">
        <v>25</v>
      </c>
      <c r="E223" s="307">
        <v>16460</v>
      </c>
      <c r="F223" s="307">
        <f>SUM(G223:H223)</f>
        <v>120000</v>
      </c>
      <c r="G223" s="307">
        <v>0</v>
      </c>
      <c r="H223" s="314">
        <v>120000</v>
      </c>
      <c r="I223" s="280"/>
      <c r="J223" s="194"/>
    </row>
    <row r="224" spans="1:10" ht="15.75">
      <c r="A224" s="208">
        <v>3</v>
      </c>
      <c r="B224" s="501" t="s">
        <v>690</v>
      </c>
      <c r="C224" s="502"/>
      <c r="D224" s="306">
        <v>135</v>
      </c>
      <c r="E224" s="307">
        <v>1277</v>
      </c>
      <c r="F224" s="307">
        <f>SUM(G224:H224)</f>
        <v>175000</v>
      </c>
      <c r="G224" s="307">
        <v>0</v>
      </c>
      <c r="H224" s="314">
        <v>175000</v>
      </c>
      <c r="I224" s="280"/>
      <c r="J224" s="194"/>
    </row>
    <row r="225" spans="1:10" ht="15.75">
      <c r="A225" s="478" t="s">
        <v>576</v>
      </c>
      <c r="B225" s="479"/>
      <c r="C225" s="480"/>
      <c r="D225" s="202"/>
      <c r="E225" s="202" t="s">
        <v>567</v>
      </c>
      <c r="F225" s="295">
        <f>SUM(F222:F224)</f>
        <v>712999.8999999999</v>
      </c>
      <c r="G225" s="315">
        <f>SUM(G222:G224)</f>
        <v>399789.61</v>
      </c>
      <c r="H225" s="315">
        <f>SUM(H222:H224)</f>
        <v>313210.29000000004</v>
      </c>
      <c r="I225" s="194"/>
      <c r="J225" s="194"/>
    </row>
    <row r="226" ht="15.75">
      <c r="B226" s="187"/>
    </row>
    <row r="227" spans="1:4" ht="15.75">
      <c r="A227" s="196"/>
      <c r="B227" s="196" t="s">
        <v>691</v>
      </c>
      <c r="C227" s="196"/>
      <c r="D227" s="196"/>
    </row>
    <row r="228" ht="15.75">
      <c r="B228" s="187"/>
    </row>
    <row r="229" spans="1:10" ht="25.5" customHeight="1">
      <c r="A229" s="483" t="s">
        <v>550</v>
      </c>
      <c r="B229" s="483" t="s">
        <v>571</v>
      </c>
      <c r="C229" s="485"/>
      <c r="D229" s="487" t="s">
        <v>656</v>
      </c>
      <c r="E229" s="489" t="s">
        <v>686</v>
      </c>
      <c r="F229" s="491" t="s">
        <v>584</v>
      </c>
      <c r="G229" s="491"/>
      <c r="H229" s="491"/>
      <c r="I229" s="312"/>
      <c r="J229" s="228"/>
    </row>
    <row r="230" spans="1:10" ht="54.75" customHeight="1">
      <c r="A230" s="484"/>
      <c r="B230" s="484"/>
      <c r="C230" s="486"/>
      <c r="D230" s="488"/>
      <c r="E230" s="490"/>
      <c r="F230" s="229" t="s">
        <v>687</v>
      </c>
      <c r="G230" s="229" t="s">
        <v>562</v>
      </c>
      <c r="H230" s="229" t="s">
        <v>568</v>
      </c>
      <c r="I230" s="194"/>
      <c r="J230" s="230"/>
    </row>
    <row r="231" spans="1:10" ht="15.75" customHeight="1">
      <c r="A231" s="234">
        <v>1</v>
      </c>
      <c r="B231" s="492">
        <v>2</v>
      </c>
      <c r="C231" s="493"/>
      <c r="D231" s="234">
        <v>3</v>
      </c>
      <c r="E231" s="234">
        <v>4</v>
      </c>
      <c r="F231" s="234">
        <v>5</v>
      </c>
      <c r="G231" s="234">
        <v>6</v>
      </c>
      <c r="H231" s="234">
        <v>7</v>
      </c>
      <c r="I231" s="280"/>
      <c r="J231" s="280"/>
    </row>
    <row r="232" spans="1:10" ht="15" customHeight="1">
      <c r="A232" s="202">
        <v>1</v>
      </c>
      <c r="B232" s="494" t="s">
        <v>692</v>
      </c>
      <c r="C232" s="495"/>
      <c r="D232" s="316">
        <v>173</v>
      </c>
      <c r="E232" s="317">
        <v>453.02448</v>
      </c>
      <c r="F232" s="292">
        <f>SUM(G232:H232)</f>
        <v>4943.1</v>
      </c>
      <c r="G232" s="292">
        <v>0</v>
      </c>
      <c r="H232" s="292">
        <v>4943.1</v>
      </c>
      <c r="I232" s="280"/>
      <c r="J232" s="280"/>
    </row>
    <row r="233" spans="1:10" ht="15" customHeight="1">
      <c r="A233" s="202">
        <v>2</v>
      </c>
      <c r="B233" s="494" t="s">
        <v>693</v>
      </c>
      <c r="C233" s="495"/>
      <c r="D233" s="316">
        <v>500</v>
      </c>
      <c r="E233" s="316">
        <v>500</v>
      </c>
      <c r="F233" s="292">
        <f>SUM(G233:H233)</f>
        <v>0</v>
      </c>
      <c r="G233" s="292">
        <v>0</v>
      </c>
      <c r="H233" s="292">
        <v>0</v>
      </c>
      <c r="I233" s="280"/>
      <c r="J233" s="280"/>
    </row>
    <row r="234" spans="1:10" ht="15" customHeight="1">
      <c r="A234" s="202">
        <v>3</v>
      </c>
      <c r="B234" s="494" t="s">
        <v>694</v>
      </c>
      <c r="C234" s="495"/>
      <c r="D234" s="316">
        <v>500</v>
      </c>
      <c r="E234" s="316">
        <v>500</v>
      </c>
      <c r="F234" s="292">
        <f>SUM(G234:H234)</f>
        <v>0</v>
      </c>
      <c r="G234" s="292">
        <v>0</v>
      </c>
      <c r="H234" s="292">
        <v>0</v>
      </c>
      <c r="I234" s="280"/>
      <c r="J234" s="280"/>
    </row>
    <row r="235" spans="1:10" ht="15.75" customHeight="1">
      <c r="A235" s="202">
        <v>4</v>
      </c>
      <c r="B235" s="494" t="s">
        <v>695</v>
      </c>
      <c r="C235" s="495"/>
      <c r="D235" s="316">
        <v>400</v>
      </c>
      <c r="E235" s="316">
        <v>200</v>
      </c>
      <c r="F235" s="292">
        <f>SUM(G235:H235)</f>
        <v>80000</v>
      </c>
      <c r="G235" s="292">
        <v>0</v>
      </c>
      <c r="H235" s="292">
        <f>80000</f>
        <v>80000</v>
      </c>
      <c r="I235" s="280"/>
      <c r="J235" s="280"/>
    </row>
    <row r="236" spans="1:10" ht="15.75">
      <c r="A236" s="202">
        <v>5</v>
      </c>
      <c r="B236" s="496" t="s">
        <v>696</v>
      </c>
      <c r="C236" s="496"/>
      <c r="D236" s="316">
        <v>250</v>
      </c>
      <c r="E236" s="316">
        <v>200</v>
      </c>
      <c r="F236" s="292">
        <f>SUM(G236:H236)</f>
        <v>40000</v>
      </c>
      <c r="G236" s="292">
        <v>0</v>
      </c>
      <c r="H236" s="292">
        <v>40000</v>
      </c>
      <c r="I236" s="280"/>
      <c r="J236" s="194"/>
    </row>
    <row r="237" spans="1:10" ht="15.75">
      <c r="A237" s="208"/>
      <c r="B237" s="476"/>
      <c r="C237" s="477"/>
      <c r="D237" s="208"/>
      <c r="E237" s="208"/>
      <c r="F237" s="208"/>
      <c r="G237" s="208"/>
      <c r="H237" s="234"/>
      <c r="I237" s="280"/>
      <c r="J237" s="194"/>
    </row>
    <row r="238" spans="1:10" s="196" customFormat="1" ht="15.75">
      <c r="A238" s="497" t="s">
        <v>576</v>
      </c>
      <c r="B238" s="498"/>
      <c r="C238" s="499"/>
      <c r="D238" s="318"/>
      <c r="E238" s="318" t="s">
        <v>567</v>
      </c>
      <c r="F238" s="295">
        <f>SUM(F232:F237)</f>
        <v>124943.1</v>
      </c>
      <c r="G238" s="315">
        <f>SUM(G232:G237)</f>
        <v>0</v>
      </c>
      <c r="H238" s="315">
        <f>SUM(H232:H237)</f>
        <v>124943.1</v>
      </c>
      <c r="I238" s="225"/>
      <c r="J238" s="225"/>
    </row>
    <row r="239" spans="1:11" ht="163.5" customHeight="1">
      <c r="A239" s="500" t="s">
        <v>697</v>
      </c>
      <c r="B239" s="500"/>
      <c r="C239" s="500"/>
      <c r="D239" s="500"/>
      <c r="E239" s="500"/>
      <c r="F239" s="500"/>
      <c r="G239" s="500"/>
      <c r="H239" s="500"/>
      <c r="I239" s="500"/>
      <c r="J239" s="500"/>
      <c r="K239" s="500"/>
    </row>
    <row r="240" ht="15.75">
      <c r="B240" s="187"/>
    </row>
    <row r="241" spans="1:4" ht="15.75">
      <c r="A241" s="196"/>
      <c r="B241" s="196" t="s">
        <v>698</v>
      </c>
      <c r="C241" s="196"/>
      <c r="D241" s="196"/>
    </row>
    <row r="242" ht="15.75">
      <c r="B242" s="187"/>
    </row>
    <row r="243" spans="1:10" ht="25.5" customHeight="1">
      <c r="A243" s="483" t="s">
        <v>550</v>
      </c>
      <c r="B243" s="483" t="s">
        <v>571</v>
      </c>
      <c r="C243" s="485"/>
      <c r="D243" s="487" t="s">
        <v>656</v>
      </c>
      <c r="E243" s="489" t="s">
        <v>686</v>
      </c>
      <c r="F243" s="491" t="s">
        <v>584</v>
      </c>
      <c r="G243" s="491"/>
      <c r="H243" s="491"/>
      <c r="I243" s="312"/>
      <c r="J243" s="228"/>
    </row>
    <row r="244" spans="1:10" ht="54.75" customHeight="1">
      <c r="A244" s="484"/>
      <c r="B244" s="484"/>
      <c r="C244" s="486"/>
      <c r="D244" s="488"/>
      <c r="E244" s="490"/>
      <c r="F244" s="229" t="s">
        <v>687</v>
      </c>
      <c r="G244" s="229" t="s">
        <v>562</v>
      </c>
      <c r="H244" s="229" t="s">
        <v>568</v>
      </c>
      <c r="I244" s="194"/>
      <c r="J244" s="230"/>
    </row>
    <row r="245" spans="1:10" ht="15.75" customHeight="1">
      <c r="A245" s="234">
        <v>1</v>
      </c>
      <c r="B245" s="492">
        <v>2</v>
      </c>
      <c r="C245" s="493"/>
      <c r="D245" s="234">
        <v>3</v>
      </c>
      <c r="E245" s="234">
        <v>4</v>
      </c>
      <c r="F245" s="234">
        <v>5</v>
      </c>
      <c r="G245" s="234">
        <v>6</v>
      </c>
      <c r="H245" s="234">
        <v>7</v>
      </c>
      <c r="I245" s="280"/>
      <c r="J245" s="280"/>
    </row>
    <row r="246" spans="1:10" ht="15.75">
      <c r="A246" s="208"/>
      <c r="B246" s="476"/>
      <c r="C246" s="477"/>
      <c r="D246" s="208"/>
      <c r="E246" s="208"/>
      <c r="F246" s="208"/>
      <c r="G246" s="234"/>
      <c r="H246" s="234"/>
      <c r="I246" s="280"/>
      <c r="J246" s="194"/>
    </row>
    <row r="247" spans="1:10" ht="15.75">
      <c r="A247" s="208"/>
      <c r="B247" s="476"/>
      <c r="C247" s="477"/>
      <c r="D247" s="208"/>
      <c r="E247" s="208"/>
      <c r="F247" s="208"/>
      <c r="G247" s="208"/>
      <c r="H247" s="234"/>
      <c r="I247" s="280"/>
      <c r="J247" s="194"/>
    </row>
    <row r="248" spans="1:10" ht="15.75">
      <c r="A248" s="478" t="s">
        <v>576</v>
      </c>
      <c r="B248" s="479"/>
      <c r="C248" s="480"/>
      <c r="D248" s="202"/>
      <c r="E248" s="202" t="s">
        <v>567</v>
      </c>
      <c r="F248" s="202"/>
      <c r="G248" s="208"/>
      <c r="H248" s="208"/>
      <c r="I248" s="194"/>
      <c r="J248" s="194"/>
    </row>
    <row r="251" spans="1:7" s="321" customFormat="1" ht="18.75">
      <c r="A251" s="319" t="s">
        <v>699</v>
      </c>
      <c r="B251" s="319"/>
      <c r="C251" s="319"/>
      <c r="D251" s="320"/>
      <c r="E251" s="320"/>
      <c r="F251" s="320"/>
      <c r="G251" s="320"/>
    </row>
    <row r="252" spans="1:4" s="321" customFormat="1" ht="15.75">
      <c r="A252" s="322"/>
      <c r="B252" s="323"/>
      <c r="C252" s="323"/>
      <c r="D252" s="324"/>
    </row>
    <row r="253" spans="1:5" s="321" customFormat="1" ht="42" customHeight="1">
      <c r="A253" s="325" t="s">
        <v>550</v>
      </c>
      <c r="B253" s="481" t="s">
        <v>700</v>
      </c>
      <c r="C253" s="481"/>
      <c r="D253" s="326" t="s">
        <v>701</v>
      </c>
      <c r="E253" s="327"/>
    </row>
    <row r="254" spans="1:5" s="321" customFormat="1" ht="24.75" customHeight="1">
      <c r="A254" s="328">
        <v>1</v>
      </c>
      <c r="B254" s="482" t="s">
        <v>702</v>
      </c>
      <c r="C254" s="482"/>
      <c r="D254" s="329">
        <f>J20+G64+G145+G168+F200+E213+G225</f>
        <v>21955158.63</v>
      </c>
      <c r="E254" s="327"/>
    </row>
    <row r="255" spans="1:5" s="321" customFormat="1" ht="24.75" customHeight="1">
      <c r="A255" s="328">
        <v>2</v>
      </c>
      <c r="B255" s="482" t="s">
        <v>568</v>
      </c>
      <c r="C255" s="482"/>
      <c r="D255" s="329">
        <f>H238+F213+G200+H168+H145+H98+H225</f>
        <v>7598859.199999999</v>
      </c>
      <c r="E255" s="330"/>
    </row>
    <row r="256" spans="1:5" s="321" customFormat="1" ht="25.5" customHeight="1">
      <c r="A256" s="472" t="s">
        <v>703</v>
      </c>
      <c r="B256" s="473"/>
      <c r="C256" s="474"/>
      <c r="D256" s="331">
        <f>SUM(D254:D255)</f>
        <v>29554017.83</v>
      </c>
      <c r="E256" s="330"/>
    </row>
    <row r="259" spans="1:5" ht="15.75">
      <c r="A259" s="187" t="s">
        <v>704</v>
      </c>
      <c r="C259" s="187" t="s">
        <v>705</v>
      </c>
      <c r="E259" s="187" t="s">
        <v>706</v>
      </c>
    </row>
    <row r="261" spans="1:5" ht="15.75">
      <c r="A261" s="187" t="s">
        <v>13</v>
      </c>
      <c r="C261" s="187" t="s">
        <v>705</v>
      </c>
      <c r="E261" s="187" t="s">
        <v>707</v>
      </c>
    </row>
    <row r="262" spans="1:7" s="321" customFormat="1" ht="15.75">
      <c r="A262" s="332"/>
      <c r="B262" s="333"/>
      <c r="C262" s="333"/>
      <c r="D262" s="475"/>
      <c r="E262" s="475"/>
      <c r="F262" s="475"/>
      <c r="G262" s="475"/>
    </row>
  </sheetData>
  <sheetProtection/>
  <mergeCells count="178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6:B26"/>
    <mergeCell ref="A28:K28"/>
    <mergeCell ref="B29:K29"/>
    <mergeCell ref="B30:I30"/>
    <mergeCell ref="A32:A33"/>
    <mergeCell ref="B32:B33"/>
    <mergeCell ref="C32:C33"/>
    <mergeCell ref="D32:D33"/>
    <mergeCell ref="E32:E33"/>
    <mergeCell ref="F32:H32"/>
    <mergeCell ref="A37:B37"/>
    <mergeCell ref="B39:F39"/>
    <mergeCell ref="A41:A42"/>
    <mergeCell ref="B41:B42"/>
    <mergeCell ref="C41:C42"/>
    <mergeCell ref="D41:D42"/>
    <mergeCell ref="E41:E42"/>
    <mergeCell ref="F41:H41"/>
    <mergeCell ref="A46:B46"/>
    <mergeCell ref="B48:I48"/>
    <mergeCell ref="A50:A51"/>
    <mergeCell ref="B50:D51"/>
    <mergeCell ref="E50:E51"/>
    <mergeCell ref="F50:H50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76:D76"/>
    <mergeCell ref="B77:D77"/>
    <mergeCell ref="B78:D78"/>
    <mergeCell ref="B79:D79"/>
    <mergeCell ref="A80:D80"/>
    <mergeCell ref="A82:K82"/>
    <mergeCell ref="A84:K84"/>
    <mergeCell ref="A90:A91"/>
    <mergeCell ref="B90:C91"/>
    <mergeCell ref="D90:D91"/>
    <mergeCell ref="E90:E91"/>
    <mergeCell ref="F90:H90"/>
    <mergeCell ref="B92:C92"/>
    <mergeCell ref="B93:C93"/>
    <mergeCell ref="B94:C94"/>
    <mergeCell ref="B95:C95"/>
    <mergeCell ref="B96:C96"/>
    <mergeCell ref="B97:C97"/>
    <mergeCell ref="A98:C98"/>
    <mergeCell ref="A100:K100"/>
    <mergeCell ref="A102:K102"/>
    <mergeCell ref="A103:E103"/>
    <mergeCell ref="A108:A109"/>
    <mergeCell ref="B108:B109"/>
    <mergeCell ref="C108:C109"/>
    <mergeCell ref="D108:D109"/>
    <mergeCell ref="E108:G108"/>
    <mergeCell ref="A113:B113"/>
    <mergeCell ref="A115:K115"/>
    <mergeCell ref="A117:K117"/>
    <mergeCell ref="A123:A124"/>
    <mergeCell ref="B123:B124"/>
    <mergeCell ref="C123:C124"/>
    <mergeCell ref="D123:D124"/>
    <mergeCell ref="E123:G123"/>
    <mergeCell ref="A128:B128"/>
    <mergeCell ref="A130:K130"/>
    <mergeCell ref="A132:K132"/>
    <mergeCell ref="A140:A141"/>
    <mergeCell ref="B140:B141"/>
    <mergeCell ref="C140:C141"/>
    <mergeCell ref="D140:D141"/>
    <mergeCell ref="E140:E141"/>
    <mergeCell ref="F140:H140"/>
    <mergeCell ref="A145:B145"/>
    <mergeCell ref="A147:K147"/>
    <mergeCell ref="A151:A152"/>
    <mergeCell ref="B151:B152"/>
    <mergeCell ref="C151:C152"/>
    <mergeCell ref="D151:D152"/>
    <mergeCell ref="E151:G151"/>
    <mergeCell ref="A156:B156"/>
    <mergeCell ref="A158:K158"/>
    <mergeCell ref="A162:A163"/>
    <mergeCell ref="B162:B163"/>
    <mergeCell ref="C162:C163"/>
    <mergeCell ref="D162:D163"/>
    <mergeCell ref="E162:E163"/>
    <mergeCell ref="F162:H162"/>
    <mergeCell ref="A168:B168"/>
    <mergeCell ref="A170:K170"/>
    <mergeCell ref="A174:A175"/>
    <mergeCell ref="B174:B175"/>
    <mergeCell ref="C174:C175"/>
    <mergeCell ref="D174:D175"/>
    <mergeCell ref="E174:G174"/>
    <mergeCell ref="A179:B179"/>
    <mergeCell ref="A181:K181"/>
    <mergeCell ref="A185:A186"/>
    <mergeCell ref="B185:B186"/>
    <mergeCell ref="C185:C186"/>
    <mergeCell ref="D185:D186"/>
    <mergeCell ref="E185:G185"/>
    <mergeCell ref="A200:B200"/>
    <mergeCell ref="A202:K202"/>
    <mergeCell ref="A206:A207"/>
    <mergeCell ref="B206:B207"/>
    <mergeCell ref="C206:C207"/>
    <mergeCell ref="D206:F206"/>
    <mergeCell ref="A213:B213"/>
    <mergeCell ref="A215:K215"/>
    <mergeCell ref="A219:A220"/>
    <mergeCell ref="B219:C220"/>
    <mergeCell ref="D219:D220"/>
    <mergeCell ref="E219:E220"/>
    <mergeCell ref="F219:H219"/>
    <mergeCell ref="B221:C221"/>
    <mergeCell ref="B222:C222"/>
    <mergeCell ref="B223:C223"/>
    <mergeCell ref="B224:C224"/>
    <mergeCell ref="A225:C225"/>
    <mergeCell ref="A229:A230"/>
    <mergeCell ref="B229:C230"/>
    <mergeCell ref="D229:D230"/>
    <mergeCell ref="E229:E230"/>
    <mergeCell ref="F229:H229"/>
    <mergeCell ref="B231:C231"/>
    <mergeCell ref="B232:C232"/>
    <mergeCell ref="B233:C233"/>
    <mergeCell ref="B234:C234"/>
    <mergeCell ref="B235:C235"/>
    <mergeCell ref="B236:C236"/>
    <mergeCell ref="B237:C237"/>
    <mergeCell ref="A238:C238"/>
    <mergeCell ref="A239:K239"/>
    <mergeCell ref="A243:A244"/>
    <mergeCell ref="B243:C244"/>
    <mergeCell ref="D243:D244"/>
    <mergeCell ref="E243:E244"/>
    <mergeCell ref="F243:H243"/>
    <mergeCell ref="B245:C245"/>
    <mergeCell ref="A256:C256"/>
    <mergeCell ref="D262:E262"/>
    <mergeCell ref="F262:G262"/>
    <mergeCell ref="B246:C246"/>
    <mergeCell ref="B247:C247"/>
    <mergeCell ref="A248:C248"/>
    <mergeCell ref="B253:C253"/>
    <mergeCell ref="B254:C254"/>
    <mergeCell ref="B255:C2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6" manualBreakCount="6">
    <brk id="29" max="255" man="1"/>
    <brk id="67" max="255" man="1"/>
    <brk id="101" max="255" man="1"/>
    <brk id="148" max="255" man="1"/>
    <brk id="202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2019-05-12T07:29:13Z</dcterms:modified>
  <cp:category/>
  <cp:version/>
  <cp:contentType/>
  <cp:contentStatus/>
</cp:coreProperties>
</file>