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1000" activeTab="12"/>
  </bookViews>
  <sheets>
    <sheet name="титульный лист + раздел 1" sheetId="1" r:id="rId1"/>
    <sheet name="раздел 2  на 01.01.19 " sheetId="2" r:id="rId2"/>
    <sheet name="раздел 3 (табл.2,3,4)" sheetId="3" r:id="rId3"/>
    <sheet name="Отраслевой код" sheetId="4" r:id="rId4"/>
    <sheet name="код субсидии" sheetId="5" r:id="rId5"/>
    <sheet name="табл.5" sheetId="6" r:id="rId6"/>
    <sheet name="раздел 4 (табл.6)" sheetId="7" r:id="rId7"/>
    <sheet name="раздел 5(табл.7)" sheetId="8" r:id="rId8"/>
    <sheet name="ФЭО МЗ" sheetId="9" r:id="rId9"/>
    <sheet name="ФЭО ИЦ" sheetId="10" r:id="rId10"/>
    <sheet name="ФЭО СС" sheetId="11" r:id="rId11"/>
    <sheet name="расчет обоснований" sheetId="12" r:id="rId12"/>
    <sheet name="Лист согласований" sheetId="13" r:id="rId13"/>
  </sheets>
  <definedNames>
    <definedName name="_xlfn.AVERAGEIF" hidden="1">#NAME?</definedName>
    <definedName name="_xlnm._FilterDatabase" localSheetId="3" hidden="1">'Отраслевой код'!$B$3:$E$35</definedName>
    <definedName name="_xlnm._FilterDatabase" localSheetId="1" hidden="1">'раздел 2  на 01.01.19 '!$B$4:$C$94</definedName>
    <definedName name="_xlnm.Print_Area" localSheetId="4">'код субсидии'!$B:$C</definedName>
    <definedName name="_xlnm.Print_Area" localSheetId="3">'Отраслевой код'!$B:$E</definedName>
    <definedName name="_xlnm.Print_Area" localSheetId="1">'раздел 2  на 01.01.19 '!$A:$C</definedName>
    <definedName name="_xlnm.Print_Area" localSheetId="2">'раздел 3 (табл.2,3,4)'!$A:$N</definedName>
    <definedName name="_xlnm.Print_Area" localSheetId="6">'раздел 4 (табл.6)'!$A:$D</definedName>
    <definedName name="_xlnm.Print_Area" localSheetId="7">'раздел 5(табл.7)'!$A:$E</definedName>
    <definedName name="_xlnm.Print_Area" localSheetId="11">'расчет обоснований'!$A$1:$F$141</definedName>
    <definedName name="_xlnm.Print_Area" localSheetId="5">'табл.5'!$A$1:$L$34</definedName>
    <definedName name="_xlnm.Print_Area" localSheetId="0">'титульный лист + раздел 1'!$A:$H</definedName>
    <definedName name="_xlnm.Print_Area" localSheetId="9">'ФЭО ИЦ'!$A$1:$K$369</definedName>
    <definedName name="_xlnm.Print_Area" localSheetId="8">'ФЭО МЗ'!$A$1:$K$485</definedName>
    <definedName name="_xlnm.Print_Area" localSheetId="10">'ФЭО СС'!$A$1:$K$417</definedName>
  </definedNames>
  <calcPr fullCalcOnLoad="1"/>
</workbook>
</file>

<file path=xl/sharedStrings.xml><?xml version="1.0" encoding="utf-8"?>
<sst xmlns="http://schemas.openxmlformats.org/spreadsheetml/2006/main" count="4024" uniqueCount="962">
  <si>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</si>
  <si>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</si>
  <si>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</si>
  <si>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>из них:</t>
  </si>
  <si>
    <t>в том числе:</t>
  </si>
  <si>
    <t>всего:</t>
  </si>
  <si>
    <t>по выданным авансам на транспортные услуги</t>
  </si>
  <si>
    <t>по выданным авансам на коммунальные услуги</t>
  </si>
  <si>
    <t>по выданным авансам на прочие расходы</t>
  </si>
  <si>
    <t>III. Показатели по поступлениям и выплатам  муниципального учреждения</t>
  </si>
  <si>
    <t>Х</t>
  </si>
  <si>
    <t>(подпись)</t>
  </si>
  <si>
    <t>(расшифровка подписи)</t>
  </si>
  <si>
    <t>Исполнитель</t>
  </si>
  <si>
    <t>муниципального учреждения города Перми</t>
  </si>
  <si>
    <t>УТВЕРЖДАЮ</t>
  </si>
  <si>
    <t>(наименование должности лица, утверждающего план)</t>
  </si>
  <si>
    <t xml:space="preserve">ПЛАН </t>
  </si>
  <si>
    <t>КОДЫ</t>
  </si>
  <si>
    <t>по ОКПО</t>
  </si>
  <si>
    <t>по ОКЕИ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</si>
  <si>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</si>
  <si>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</si>
  <si>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</si>
  <si>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</si>
  <si>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</si>
  <si>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</si>
  <si>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 xml:space="preserve">плана финансово-хозяйственной деятельности </t>
  </si>
  <si>
    <t xml:space="preserve">                               Форма по КФД</t>
  </si>
  <si>
    <t xml:space="preserve">к Порядку составления и утверждения </t>
  </si>
  <si>
    <t xml:space="preserve">ИНН / КПП              </t>
  </si>
  <si>
    <t>Приложение 1</t>
  </si>
  <si>
    <t>доходы от собственности</t>
  </si>
  <si>
    <t>Всего</t>
  </si>
  <si>
    <t>субсидии на осуществление капи-тальных вложений</t>
  </si>
  <si>
    <t>средства обя-зательного медицинского страхования</t>
  </si>
  <si>
    <t>всего</t>
  </si>
  <si>
    <t>из них гранты</t>
  </si>
  <si>
    <t>Объем финансового обеспечения, руб. (с точностью до двух знаков после запятой – 0,00)</t>
  </si>
  <si>
    <t>Приобретение товаров, работ, услуг в пользу граждан в целях их социального обеспечения</t>
  </si>
  <si>
    <t>(очередной финансовый год)</t>
  </si>
  <si>
    <t>Показатели по поступлениям и выплатам  муниципального учреждения</t>
  </si>
  <si>
    <t>Таблица 2</t>
  </si>
  <si>
    <t>Поступления от доходов, всего:</t>
  </si>
  <si>
    <t>Выплаты по расходам, всего:</t>
  </si>
  <si>
    <t>Код строки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</si>
  <si>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</si>
  <si>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</si>
  <si>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</si>
  <si>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</si>
  <si>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поступления от оказания услуг (выполнения работ) на платной основе и от иной приносящей доход деятельности</t>
  </si>
  <si>
    <t>Нормативные затраты на содержание имущества</t>
  </si>
  <si>
    <t>Затраты на уплату налогов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</si>
  <si>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</si>
  <si>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</si>
  <si>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</si>
  <si>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</si>
  <si>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</si>
  <si>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</si>
  <si>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</si>
  <si>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</si>
  <si>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</si>
  <si>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</si>
  <si>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</si>
  <si>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</si>
  <si>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</si>
  <si>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</si>
  <si>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</si>
  <si>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</si>
  <si>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</si>
  <si>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</si>
  <si>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>2011 г. № 223-ФЗ «О закупках товаров, работ, услуг отдельными видами юридических лиц»</t>
  </si>
  <si>
    <t>г., 2-ой год планового периода</t>
  </si>
  <si>
    <t xml:space="preserve">Выплаты по расходам на закупку товаров, работ, услуг, </t>
  </si>
  <si>
    <t>X</t>
  </si>
  <si>
    <t>в том числе: на оплату контрактов, заключенных до начала очередного финансового года:</t>
  </si>
  <si>
    <t>0001</t>
  </si>
  <si>
    <t>Таблица 3</t>
  </si>
  <si>
    <r>
      <t xml:space="preserve">2 </t>
    </r>
    <r>
      <rPr>
        <sz val="12"/>
        <color indexed="8"/>
        <rFont val="Times New Roman"/>
        <family val="1"/>
      </rPr>
      <t>В графах 7-12 таблицы 5 указываются:</t>
    </r>
  </si>
  <si>
    <t>При этом необходимо обеспечить соотношение следующих показателей: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</si>
  <si>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</si>
  <si>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</si>
  <si>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</si>
  <si>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r>
      <t>IV.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</si>
  <si>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</si>
  <si>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</si>
  <si>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</si>
  <si>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t>строки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</si>
  <si>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</rPr>
      <t>3</t>
    </r>
  </si>
  <si>
    <t>Поступление</t>
  </si>
  <si>
    <t>Выбытие</t>
  </si>
  <si>
    <t>-----------------------------</t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</si>
  <si>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</si>
  <si>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</si>
  <si>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</si>
  <si>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</si>
  <si>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</si>
  <si>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</si>
  <si>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</si>
  <si>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</si>
  <si>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</si>
  <si>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</si>
  <si>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</si>
  <si>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</si>
  <si>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 xml:space="preserve">                                                          (подпись)                                (расшифровка подписи)</t>
  </si>
  <si>
    <t xml:space="preserve">Нефинансовые активы, всего:          </t>
  </si>
  <si>
    <t>особо ценное движимое имущество, всего:</t>
  </si>
  <si>
    <t xml:space="preserve">Финансовые активы, всего: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</si>
  <si>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</si>
  <si>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</si>
  <si>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</si>
  <si>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</si>
  <si>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</si>
  <si>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</si>
  <si>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</si>
  <si>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</si>
  <si>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</si>
  <si>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</si>
  <si>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по выданным авансам на приобретение материальных запасов </t>
  </si>
  <si>
    <t xml:space="preserve">Обязательства, всего:                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</si>
  <si>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</si>
  <si>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</si>
  <si>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</si>
  <si>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</si>
  <si>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</si>
  <si>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</si>
  <si>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</si>
  <si>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</si>
  <si>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</si>
  <si>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</si>
  <si>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</si>
  <si>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</si>
  <si>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>Адрес фактического местонахождения муниципального учреждения:</t>
  </si>
  <si>
    <t>добровольные пожертвования</t>
  </si>
  <si>
    <t>иные доходы</t>
  </si>
  <si>
    <t>1.3. Перечень услуг (работ), относящихся в соответствии с уставом к основным видам деятельности учреждения предоставление которых для физических и юридических лиц осуществляется, в том числе за плату:</t>
  </si>
  <si>
    <t xml:space="preserve">из них: 
недвижимое имущество, всего:                               </t>
  </si>
  <si>
    <t>№ п/п</t>
  </si>
  <si>
    <t>материальные запасы</t>
  </si>
  <si>
    <t>непроизведенные активы (стоимость земли)</t>
  </si>
  <si>
    <t xml:space="preserve">из них:  денежные средства учреждения, всего       </t>
  </si>
  <si>
    <t xml:space="preserve">в том числе: денежные средства учреждения на счетах          </t>
  </si>
  <si>
    <t>дебиторская задолженность по расходам, всего</t>
  </si>
  <si>
    <t xml:space="preserve">в том числе:   по выданным авансам на услуги связи       </t>
  </si>
  <si>
    <t xml:space="preserve">по выданным авансам на командировочные расходы     </t>
  </si>
  <si>
    <t xml:space="preserve">дебиторская задолженность по выданным авансам за счет доходов, полученных от платной и иной приносящей доход деятельности, всего           </t>
  </si>
  <si>
    <t xml:space="preserve">в том числе: по выданным авансам на услуги связи       </t>
  </si>
  <si>
    <t>по выданным авансам на командировочные расходы</t>
  </si>
  <si>
    <t>дебиторская задолженность по выданным авансам, полученным за счет средств обязательного медицинского страхования, всего</t>
  </si>
  <si>
    <t>по выданным авансам на услуги по содержанию имущества</t>
  </si>
  <si>
    <t>по выданным авансам на прочие услуги</t>
  </si>
  <si>
    <t>по выданным авансам на приобретение основных средств</t>
  </si>
  <si>
    <t>по выданным авансам на приобретение нематериальных активов</t>
  </si>
  <si>
    <t>по выданным авансам на приобретение непроизведенных активов</t>
  </si>
  <si>
    <t>по выданным авансам на приобретение материальных запасов</t>
  </si>
  <si>
    <t>дебиторская задолженность по расходам на осуществление бюджетных инвестиций</t>
  </si>
  <si>
    <t>кредиторская задолженность всего:</t>
  </si>
  <si>
    <t xml:space="preserve">в том числе: по оплате труда </t>
  </si>
  <si>
    <t>по начислениям на выплаты по оплате труда</t>
  </si>
  <si>
    <t xml:space="preserve">по платежам в бюджет               </t>
  </si>
  <si>
    <t>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</si>
  <si>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расчетам с поставщиками и подрядчиками за счет средств обязательного медицинского страхования, всего</t>
  </si>
  <si>
    <t>просроченная кредиторская задолженность по расходам за счет бюджетных инвестиций</t>
  </si>
  <si>
    <t>Код субсидии</t>
  </si>
  <si>
    <t>КВР</t>
  </si>
  <si>
    <t>КОСГУ</t>
  </si>
  <si>
    <t>субсидии, предоставляемые в соответствии с абзацем вторым пункта 1 статьи 78.1 Бюджетного кодекса Российской Федерации</t>
  </si>
  <si>
    <t>иные субсидии, предоставленные из бюджета</t>
  </si>
  <si>
    <t>Для каких типов учреждений</t>
  </si>
  <si>
    <t>ДОУ</t>
  </si>
  <si>
    <t>Обеспечение деятельности (оказание услуг, выполнение работ) подведомственных учреждений, в том числе на предоставление муниципальным бюджетным и автономным учреждениям субсидий</t>
  </si>
  <si>
    <t>Единая субвенция на выполнение отдельных государственных полномочий в сфере образования</t>
  </si>
  <si>
    <t>Направления расходов</t>
  </si>
  <si>
    <t>Основное мероприятие "Восстановление дошкольных образовательных организаций, закрытых на капитальный ремонт, ранее перепрофилированных групп в дошкольных образовательных организациях"</t>
  </si>
  <si>
    <t>Ремонты</t>
  </si>
  <si>
    <t>Основное мероприятие "Приведение имущественных комплексов образовательных организаций в соответствие с требованиями действующего законодательства"</t>
  </si>
  <si>
    <t>ДОУ,СОШ,УДО</t>
  </si>
  <si>
    <t>Основное мероприятие "Приобретение оборудования, мебели, инвентаря, материальных запасов для вновь приобретаемых (построенных) и реконструированных образовательных организаций"</t>
  </si>
  <si>
    <t>Приобретение оборудование</t>
  </si>
  <si>
    <t>Капитальный ремонт</t>
  </si>
  <si>
    <t>Целевые субсидии организациям дошкольного образования на аренду имущественных комплексов</t>
  </si>
  <si>
    <t>Аренда Мотовилихинских заводов</t>
  </si>
  <si>
    <t>СОШ</t>
  </si>
  <si>
    <t>СОШ, структурные подразделения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</si>
  <si>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</si>
  <si>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Коррекционные школы</t>
  </si>
  <si>
    <t>Коррекционные школы,СОШ, структурные подразделения</t>
  </si>
  <si>
    <t>ФМО нормативные затраты</t>
  </si>
  <si>
    <t>Основное мероприятие "Оборудование объектов социальной инфраструктуры средствами беспрепятственного доступа, обеспечение информационной доступности для инвалидов и иных маломобильных групп населения"</t>
  </si>
  <si>
    <t>Коррекционные школы,СОШ</t>
  </si>
  <si>
    <t>Целевая субсидия кадетской школе на предоставление бесплатного питания учащимся</t>
  </si>
  <si>
    <t>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</si>
  <si>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>Питание детей в Кадетской школе</t>
  </si>
  <si>
    <t>музей "Дом Дягилева Гимназия №11</t>
  </si>
  <si>
    <t>УДО</t>
  </si>
  <si>
    <t>Целевая субсидия на проведение акции для детей города Перми "Почта Деда Мороза"</t>
  </si>
  <si>
    <t>Целевая субсидия на реализацию историко-культурной образовательной программы</t>
  </si>
  <si>
    <t>Мероприятие ГДТЮ</t>
  </si>
  <si>
    <t>07 2 01 006501</t>
  </si>
  <si>
    <t>Мероприятия по организации оздоровления и отдыха детей</t>
  </si>
  <si>
    <t>Мероприятия, направленные на первичную профилактику употребления психоактивных веществ</t>
  </si>
  <si>
    <t>Предоставление услуг иными государственными (муниципальными) учреждениями, не осуществляющими образовательный процесс</t>
  </si>
  <si>
    <t>Основное мероприятие "Организация и проведение мероприятий по содействию формирования гармоничной межнациональной ситуации в городе Перми"</t>
  </si>
  <si>
    <t>Целевая субсидия образовательным организациям на мероприятия в области инновационного развития системы образования</t>
  </si>
  <si>
    <t>Целевая субсидия образовательным организациям на отраслевые мероприятия для детей и педагогических работников</t>
  </si>
  <si>
    <t>Целевая субсидия образовательным организациям на проведение мероприятий "Уроки о бюджете"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</si>
  <si>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</si>
  <si>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 xml:space="preserve"> санаторно-курортное лечение и оздоровление бюджет города Перми</t>
  </si>
  <si>
    <t xml:space="preserve"> санаторно-курортное лечение и оздоровление бюджет Пермского края</t>
  </si>
  <si>
    <t>07 3 01 005901</t>
  </si>
  <si>
    <t>прочие доходы, в том числе:</t>
  </si>
  <si>
    <t>доходы от операций с активами, в том числе:</t>
  </si>
  <si>
    <t>Предоставление мер социальной поддержки педагогическим работникам государственных и муниципальных организаций Пермского края, работающих и проживающих в сельской местности и поселках городского типа (рабочих поселках), по оплате жилого помещения и коммунальных услуг</t>
  </si>
  <si>
    <t>Село</t>
  </si>
  <si>
    <t>Предоставление мер социальной поддержки педагогическим работникам образовательных организаций</t>
  </si>
  <si>
    <t>Статья 23</t>
  </si>
  <si>
    <t>Целевая субсидия общеобразовательным организациям на предоставление бесплатного двухразового питания учащимся с ограниченными возможностями здоровья</t>
  </si>
  <si>
    <t>Бесплатное двухразовое питание</t>
  </si>
  <si>
    <t>Целевая субсидия общеобразовательным организациям на предоставление бесплатного питания отдельным категориям учащихся</t>
  </si>
  <si>
    <t>Бесплатное питание отдельным категориям учащихся</t>
  </si>
  <si>
    <t>МЗ этапы ССМ, ВСМ</t>
  </si>
  <si>
    <t>Отраслевой показатель</t>
  </si>
  <si>
    <t>Беспрепятственный доступ для инвалидов</t>
  </si>
  <si>
    <t>Прочие учреждения</t>
  </si>
  <si>
    <t>Кандидаты</t>
  </si>
  <si>
    <t xml:space="preserve"> Субсидии на иные цели</t>
  </si>
  <si>
    <t xml:space="preserve"> Субсидия на финансовое обеспечение выполнения муниципального задания</t>
  </si>
  <si>
    <t xml:space="preserve"> Не указано</t>
  </si>
  <si>
    <t xml:space="preserve"> Мероприятия, направленные на решение отдельных вопросов местного значения в микрорайонах города Перми</t>
  </si>
  <si>
    <t xml:space="preserve"> Меры социальной поддержки педагогических работников - средства г. Перми</t>
  </si>
  <si>
    <t xml:space="preserve"> Обеспечение работников путевками на санаторно-курортное лечение и оздоровление-средства г. Перми</t>
  </si>
  <si>
    <t xml:space="preserve"> Мероприятия по профилактике правонарушений на территории города Перми среди несовершеннолетних</t>
  </si>
  <si>
    <t xml:space="preserve"> Мероприятия по первичной профилактике употребления психоактивных веществ</t>
  </si>
  <si>
    <t xml:space="preserve"> Приобретение оборудования, мебели, инвентаря, материальных запасов для вновь приобретаемых (построенных) дошкольных образовательных организаций</t>
  </si>
  <si>
    <t xml:space="preserve"> Меры социальной поддержки учащимся из многодетных малоимущих семей</t>
  </si>
  <si>
    <t>Меры социальной поддержки учащимся из малоимущих семей</t>
  </si>
  <si>
    <t>Вознаграждение за выполнение функций классного руководителя педагогическим работникам</t>
  </si>
  <si>
    <t>Наименование кодов субсидии</t>
  </si>
  <si>
    <t xml:space="preserve"> 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учреждениях Пермского края</t>
  </si>
  <si>
    <t>Меры социальной поддержки педагогическим работникам муниципальных образовательных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</si>
  <si>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Организация подвоза учащихся на учебные занятия и обратно из отдаленных микрорайнов</t>
  </si>
  <si>
    <t>Предоставление бесплатного питания отдельным категориям учащихся в общеобразовательных учреждениях</t>
  </si>
  <si>
    <t xml:space="preserve"> Приведение имущественных комплексов образовательных учреждений в соответствие с требованиями действующего законодательства</t>
  </si>
  <si>
    <t xml:space="preserve"> Восстановление дошкольных образовательных учреждений, закрытых на капитальный ремонт, ранее перепрофилированных групп в дошкольных образовательных учреждениях</t>
  </si>
  <si>
    <t xml:space="preserve"> Оборудование объектов социальной инфраструктуры средствами беспрепятственного доступа</t>
  </si>
  <si>
    <t>Мероприятия в области инновационного развития системы образования</t>
  </si>
  <si>
    <t xml:space="preserve"> Предоставление бесплатного питания учащимся кадетской школы города Перми</t>
  </si>
  <si>
    <t xml:space="preserve"> Мероприятия в области образования</t>
  </si>
  <si>
    <t xml:space="preserve"> Аренда, не включенная в стоимость услуги</t>
  </si>
  <si>
    <t xml:space="preserve"> Расходы, связанные с подготовкой имущественного комплекса к организации оказания муниципальных услуг</t>
  </si>
  <si>
    <t xml:space="preserve"> Содержание временно не функционирующих имущественных комплексов муниципальных образовательных учреждений</t>
  </si>
  <si>
    <t>Проведение акции для детей города Перми "Почта Деда Мороза"</t>
  </si>
  <si>
    <t xml:space="preserve"> Средства на повышение стимулирующей части фонда оплаты труда</t>
  </si>
  <si>
    <t xml:space="preserve"> Повышение фонда оплаты труда</t>
  </si>
  <si>
    <t xml:space="preserve"> Приобретение оборудования, мебели, инвентаря, материальных запасов для вновь приобретаемых (построенных) и реконструируемых образовательных организаций</t>
  </si>
  <si>
    <t xml:space="preserve"> Поддержка муниципальных программ, направленных на укрепление гражданского единства и гармонизацию межнациональных отношений</t>
  </si>
  <si>
    <t>Целевая субсидия организациям дошкольного образования на проведение иммунизации против гепатита «А»</t>
  </si>
  <si>
    <t xml:space="preserve"> Меры социальной поддержки педагогических работников - средства Пермского края</t>
  </si>
  <si>
    <t xml:space="preserve"> Обеспечение работников путевками на санаторно-курортное лечение и оздоровление-средства Пермского края</t>
  </si>
  <si>
    <t xml:space="preserve"> Реализация мероприятий, связанных с подготовкой к открытию МАДОУ «Конструктор успеха» г. Перми</t>
  </si>
  <si>
    <t xml:space="preserve">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</si>
  <si>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 xml:space="preserve"> Организация и проведение физкультурных и спортивных мероприятий на территории города Перми</t>
  </si>
  <si>
    <t xml:space="preserve"> Внедрение федеральных государственных образовательных стандартов дошкольного образования</t>
  </si>
  <si>
    <t>Расходы на приобретение оборудования и карт для системы электронного учета услуг дополнительного образования</t>
  </si>
  <si>
    <t xml:space="preserve"> Выплата единовременной премии обучающимся, награжденным знаком отличия Пермского края "Гордость Пермского края"</t>
  </si>
  <si>
    <t xml:space="preserve"> Реализация комплексных инвестиционных проектов по развитию инновационных территориальных кластеров</t>
  </si>
  <si>
    <t xml:space="preserve"> Оплата взносов на капитальный ремонт</t>
  </si>
  <si>
    <t xml:space="preserve"> Целевые субсидии на льготную категорию родителей (законных представителей) с которых плата за присмотр и уход за детьми не взимается или ее размер снижается</t>
  </si>
  <si>
    <t xml:space="preserve"> Целевая субсидия на проведение мероприятий по сохранению и использованию музея "Дом Дягилева" в культурно-образовательной деятельности муниципального бюджетного общеобразовательного учреждения "Гимназия № 11 им. С.П. Дягилева"</t>
  </si>
  <si>
    <t xml:space="preserve"> Предоставление бесплатного двухразового питания учащимся с ограниченными возможностями здоровья</t>
  </si>
  <si>
    <t>Стимулирование педагогических работников по результатам обучения школьников</t>
  </si>
  <si>
    <t xml:space="preserve"> Проведение мероприятий по оказанию кризисной помощи детям и подросткам, находящимся в трудной жизненной ситуации</t>
  </si>
  <si>
    <t xml:space="preserve"> Проведение мероприятий по ранней профилактике правонарушений среди несовершеннолетних</t>
  </si>
  <si>
    <t>Расходы на ведение электронных дневников и журналов</t>
  </si>
  <si>
    <t xml:space="preserve"> Расходы на приобретение аттестатов об основном общем образовании и среднем общем образовании и приложений, аттестатов об основном общем образовании и среднем образовании с отличием и приложений</t>
  </si>
  <si>
    <t xml:space="preserve"> Расходы на организацию проведения единого государственного экзамена в 11-м классе</t>
  </si>
  <si>
    <t>Расходы на приобретение медалей "За особые успехи в учении"</t>
  </si>
  <si>
    <t xml:space="preserve"> Расходы на организацию проведения государственной (итоговой) аттестации в 9 классе</t>
  </si>
  <si>
    <t>Реализация мероприятий, связанных с подготовкой к открытию муниципального автономного общеобразовательного учреждения «Средняя общеобразовательная школа «Мастерград»</t>
  </si>
  <si>
    <t>Целевая субсидия муниципальным учреждениям на организацию оздоровления и отдыха детей</t>
  </si>
  <si>
    <t xml:space="preserve"> Единовременная денежная выплата обучающимся из малоимущих семей, поступившим в первый класс общеобразовательной организации</t>
  </si>
  <si>
    <t>Расходы на реализацию историко-культурной образовательной программы</t>
  </si>
  <si>
    <t xml:space="preserve"> Расходы на предоставление общедоступного и бесплатного дошкольного, начального, основного, среднего общего образования в оздоровительных образовательных организациях санаторного типа для детей, нуждающихся в длительном лечении</t>
  </si>
  <si>
    <t xml:space="preserve">Мероприятия </t>
  </si>
  <si>
    <t>Мероприятия ИЦРСО</t>
  </si>
  <si>
    <t>Мероприятия ЦПМС</t>
  </si>
  <si>
    <t>Мероприятия уроки о бюджете</t>
  </si>
  <si>
    <t>на 2020 г., 1-ый год планового периода</t>
  </si>
  <si>
    <t>№ 44-ФЗ «О контрактной системе в сфере закупок товаров, работ, услуг для обеспечения государственных и муниципальных нужд»</t>
  </si>
  <si>
    <t>по строке 1001 - суммы оплаты в соответствующем финансовом году по контрактам (договорам), заключенным до начала очередного финансового года, при этом в графах 7 - 9 указываются суммы оплаты по контрактам, заключенным в соответствии с Федеральным законом от 5 апреля 2013 г.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44-ФЗ), а в графах 10 - 12 - по договорам, заключенным в соответствии с Федеральным законом от 18 июля 2011 г. № 223-ФЗ «О закупках товаров, работ, услуг отдельными видами юридических лиц» (далее - Федеральный закон № 223-ФЗ);</t>
  </si>
  <si>
    <t>по строке 2001 -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7 - 9 указываются суммы планируемых выплат по контрактам, для заключения которых в соответствующем году согласно Федеральному закону № 44-ФЗ планируется разместить извещение об осуществлении закупки товаров, работ, услуг для обеспечения муниципальных нужд либо направить приглашение принять участие в определении поставщика (подрядчика, исполнителя) или проект контракта, а в графах 10 - 12 указываются суммы планируемых выплат по договорам, для заключения которых в соответствии с Федеральным законом № 223-ФЗ осуществляется закупка (планируется начать закупку) в порядке, установленном положением о закупке.</t>
  </si>
  <si>
    <t>1) показатели граф 4 - 12 по строке 0001 должны быть равны сумме показателей соответствующих граф по строкам 1001 и 2001;</t>
  </si>
  <si>
    <t>5) показатели по строке 0001 граф 7 - 9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</si>
  <si>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2.6 в графах 9 - 12 таблицы 2 на соответствующий год;</t>
  </si>
  <si>
    <t>б) для автономных учреждений не могут быть меньше показателей по строке 2.6 в графе 11 таблицы 2 на соответствующий год;</t>
  </si>
  <si>
    <t>6) для бюджетных учреждений показатели строки 0001 граф 10 - 12 не могут быть больше показателей строки 2.6 графы 13 таблицы 2 на соответствующий год;</t>
  </si>
  <si>
    <t>на выплату персоналу, всего</t>
  </si>
  <si>
    <t xml:space="preserve">Оплата труда и начисления на выплаты по оплате труда </t>
  </si>
  <si>
    <t>заработная плата</t>
  </si>
  <si>
    <t>прочие выплаты</t>
  </si>
  <si>
    <t>иные выплаты, за исключением фонда оплаты труда учреждений, лицам, привлекаемых огласно законодательству для выполнения отдельных полномочий</t>
  </si>
  <si>
    <t>начисления на выплаты по оплате труда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</si>
  <si>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</si>
  <si>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</si>
  <si>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</si>
  <si>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</si>
  <si>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уплата налогов, сборов и иных платежей, всего</t>
  </si>
  <si>
    <t>исполнение судебных актов</t>
  </si>
  <si>
    <t>уплата налогов, сборов и иных платежей</t>
  </si>
  <si>
    <t>уплата налога на имущества организаций и земельного налога</t>
  </si>
  <si>
    <t>уплата иных платежей</t>
  </si>
  <si>
    <t>безвозмездные перечисления организациям</t>
  </si>
  <si>
    <t>прочие расходы (кроме расходов на закупку товаров, работ, услуг)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</si>
  <si>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</si>
  <si>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имущества</t>
  </si>
  <si>
    <t>Расходы на закупку товаров, работ, услуг, всего</t>
  </si>
  <si>
    <t>услуги связи</t>
  </si>
  <si>
    <t>транспортные услуги</t>
  </si>
  <si>
    <t>коммунальные услуги, всего</t>
  </si>
  <si>
    <t>оплата тепловой энергии</t>
  </si>
  <si>
    <t>оплата потребления газа</t>
  </si>
  <si>
    <t>оплата электрической энергии</t>
  </si>
  <si>
    <t>оплата водоснабжения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</si>
  <si>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</si>
  <si>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</si>
  <si>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</si>
  <si>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поступление нематериальных активов</t>
  </si>
  <si>
    <t>поступление материальных запасов, всего</t>
  </si>
  <si>
    <t>медикаменты</t>
  </si>
  <si>
    <t>продукты питания</t>
  </si>
  <si>
    <t>прочие материальные запасы</t>
  </si>
  <si>
    <t>приобретение печного топлива</t>
  </si>
  <si>
    <t>Бюджетные инвестиции</t>
  </si>
  <si>
    <t>прочие работы, услуги, всего</t>
  </si>
  <si>
    <t>услуги по организации питания</t>
  </si>
  <si>
    <t>проведение лабораторных и инструментальных исследований</t>
  </si>
  <si>
    <t>прочие работы, услуги</t>
  </si>
  <si>
    <t>Планируемый остаток средств на начало планируемого года</t>
  </si>
  <si>
    <t>Отраслевой код</t>
  </si>
  <si>
    <t>Реализация, присмотр и уход (местный бюджет),земельный налог, налог на имущество, льготная категория детей, нормативные затраты</t>
  </si>
  <si>
    <t>Реализация, присмотр и уход (ФМО местный бюджет), земельный налог, налог на имущество, льготная категория детей, нормативные затраты</t>
  </si>
  <si>
    <t>ФОТ,ФМО Бюджет Пермского края+инновации+электронные дневники+ГИА+ЕГЭ+ аттестаты+медали+больницы+малоимущие+малоимущие многодетные, ст.23+ классное руководство</t>
  </si>
  <si>
    <t>Реализация основных общеобразовательных программ дошкольного образования</t>
  </si>
  <si>
    <t>Присмотр и уход</t>
  </si>
  <si>
    <t xml:space="preserve">
Реализация основных общеобразовательных программ начального общего образования
</t>
  </si>
  <si>
    <t xml:space="preserve">
Реализация основных общеобразовательных программ основного общего образования
</t>
  </si>
  <si>
    <t xml:space="preserve">
Реализация основных общеобразовательных программ среднего общего образования
</t>
  </si>
  <si>
    <t xml:space="preserve">
Содержание детей
</t>
  </si>
  <si>
    <t xml:space="preserve">
Реализация дополнительных общеобразовательных предпрофессиональных программ в области физической культуры и спорта
</t>
  </si>
  <si>
    <t xml:space="preserve">
Спортивная подготовка по олимпийским видам спорта
</t>
  </si>
  <si>
    <t xml:space="preserve">
Психолого-медико-педагогического обследования детей
</t>
  </si>
  <si>
    <t xml:space="preserve">
Оказание социально-психологической помощи детям с проблемами в развитии, обучении и социальной адаптации (проект)
</t>
  </si>
  <si>
    <t xml:space="preserve">
Образовательная услуга дополнительного образования взрослых (проект)
</t>
  </si>
  <si>
    <t xml:space="preserve">
Организационно-методическая услуга дополнительного образования взрослых (проект)
</t>
  </si>
  <si>
    <t>УДО,СОШ</t>
  </si>
  <si>
    <t xml:space="preserve">МЗ УДО, уникальные </t>
  </si>
  <si>
    <t xml:space="preserve">Реализация 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</si>
  <si>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</si>
  <si>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</si>
  <si>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 xml:space="preserve">штрафы за нарушение законодательства о закупках и нарушений </t>
  </si>
  <si>
    <t>штрафные санкции по долговым обязательствам</t>
  </si>
  <si>
    <t>другие экономические санкции</t>
  </si>
  <si>
    <t>иные расходы</t>
  </si>
  <si>
    <t>00000000000</t>
  </si>
  <si>
    <t>в том числе</t>
  </si>
  <si>
    <t>доходы от операционной аренды</t>
  </si>
  <si>
    <t>проценты по депозитам, остаткам денежных средств</t>
  </si>
  <si>
    <t>доходы от оказания услуг (работ), компенсаций затрат, в том числе:</t>
  </si>
  <si>
    <t>Доходы от компенсации затрат</t>
  </si>
  <si>
    <t>доходы от штрафных санкций за нарушение законодательства о закупках и нарушение условий контрактов (договоров)</t>
  </si>
  <si>
    <t>доходы от штрашных санкций по долговым обязательствам</t>
  </si>
  <si>
    <t>страховые возмещения</t>
  </si>
  <si>
    <t>возмещение ущерба имуществу</t>
  </si>
  <si>
    <t>прочие доходы от сумм принудительного изъятия</t>
  </si>
  <si>
    <t>уменьшение стоимости основных средств</t>
  </si>
  <si>
    <t>уменьшение стоимости нематериальных активов</t>
  </si>
  <si>
    <t>уменьшение стоимости непроизводственных активов</t>
  </si>
  <si>
    <t>уменьшение стоимости права пользования активом</t>
  </si>
  <si>
    <t>транспортный и госпошлина</t>
  </si>
  <si>
    <t>загр окр среды</t>
  </si>
  <si>
    <t>Таблица 4</t>
  </si>
  <si>
    <t xml:space="preserve">                                                                                                                                                                                                              (последнюю отчетную дату)</t>
  </si>
  <si>
    <t>в том числе: 
амортизация недвижимого имущества</t>
  </si>
  <si>
    <t>остаточная стоимость</t>
  </si>
  <si>
    <t>в том числе: 
амортизация особо ценного движимого имущества</t>
  </si>
  <si>
    <t>иное движимое имущество, всего</t>
  </si>
  <si>
    <t>в том числе: 
амортизация иного движимого имущества</t>
  </si>
  <si>
    <t>в том числе:
остаточная стоимость</t>
  </si>
  <si>
    <t>нематериальные активы</t>
  </si>
  <si>
    <t xml:space="preserve"> из них: расчеты по платежам в бюджеты</t>
  </si>
  <si>
    <t>в том числе: 
по выданным авансам на услуги связи</t>
  </si>
  <si>
    <t xml:space="preserve">из них: долговые обязательства                               </t>
  </si>
  <si>
    <t xml:space="preserve">расчеты по доходам                           </t>
  </si>
  <si>
    <r>
      <t xml:space="preserve">Финансовое состояние муниципального учреждения на </t>
    </r>
    <r>
      <rPr>
        <b/>
        <u val="single"/>
        <sz val="13"/>
        <color indexed="8"/>
        <rFont val="Calibri"/>
        <family val="2"/>
      </rPr>
      <t>01 января 2019 года</t>
    </r>
  </si>
  <si>
    <t>финансово-хозяйственной деятельности на 2019 год</t>
  </si>
  <si>
    <t xml:space="preserve">                                                     по РУБН/НУБН
</t>
  </si>
  <si>
    <t>по ОКВ</t>
  </si>
  <si>
    <t xml:space="preserve">                                                           
Код по бюджетной классификации Российской Федерации
</t>
  </si>
  <si>
    <t xml:space="preserve">субсидия на финансовое обеспечение выполнения государственного (муниципального) задания
</t>
  </si>
  <si>
    <t>Социальные и иные выплаты населению, всего</t>
  </si>
  <si>
    <t>прочие расходы</t>
  </si>
  <si>
    <t>на закупку товаров,работ, услуг по году начала закупки</t>
  </si>
  <si>
    <t>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</si>
  <si>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010</t>
  </si>
  <si>
    <t>020</t>
  </si>
  <si>
    <t>030</t>
  </si>
  <si>
    <t>040</t>
  </si>
  <si>
    <t xml:space="preserve">&lt;3&gt;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Плана, либо указываются фактические остатки указанных средств при внесении изменений в План после завершения отчетного финансового года
</t>
  </si>
  <si>
    <t>07 1 02 2Н0202</t>
  </si>
  <si>
    <t>07 1 01 005901</t>
  </si>
  <si>
    <t>07 1 01 006101</t>
  </si>
  <si>
    <t>08 3 02 010701</t>
  </si>
  <si>
    <t>08 3 01 234601</t>
  </si>
  <si>
    <t>08 3 02 234701</t>
  </si>
  <si>
    <t>08 3 04 234901</t>
  </si>
  <si>
    <t>07 2 02 2Н0202</t>
  </si>
  <si>
    <t>07 2 01 005901</t>
  </si>
  <si>
    <t>07 2 02 SН0401</t>
  </si>
  <si>
    <t>07 2 02 SН0402</t>
  </si>
  <si>
    <t>07 4 02 006301</t>
  </si>
  <si>
    <t>ФОТ, ФМО Бюджет Пермского края, ст.23, дети инвалиды, компенсация</t>
  </si>
  <si>
    <t xml:space="preserve">Компенсация части родительской платы за присмотр и уход за ребенком в образовательных организациях, реализующих образовательную </t>
  </si>
  <si>
    <t>Мероприятия по поддержке одаренных детей города Перми</t>
  </si>
  <si>
    <t xml:space="preserve"> Целевая субсидия на содержание МАДОУ «Детский сад № 409» г. Перми</t>
  </si>
  <si>
    <t xml:space="preserve"> Модернизация региональных систем дошкольного образования</t>
  </si>
  <si>
    <t>уменьшение стоимости материальных запасов</t>
  </si>
  <si>
    <t>на 2019 очередной финан-совый год</t>
  </si>
  <si>
    <t>на 2021 г., 2-ой год планового периода</t>
  </si>
  <si>
    <t>на 2019 очередной финансо-вый год</t>
  </si>
  <si>
    <t>на 2021</t>
  </si>
  <si>
    <t>Код  по  реестру  участников  бюджетного процесса, а также юридических лиц,</t>
  </si>
  <si>
    <t>Дата</t>
  </si>
  <si>
    <t>доходы от штрафов, пеней, иных сумм принудительного изъятия</t>
  </si>
  <si>
    <t xml:space="preserve"> и плановый период 2020 и 2021  годов</t>
  </si>
  <si>
    <t>2.1</t>
  </si>
  <si>
    <t>2.1.1</t>
  </si>
  <si>
    <t>2.1.2</t>
  </si>
  <si>
    <t>2.1.3</t>
  </si>
  <si>
    <t>2.1.4</t>
  </si>
  <si>
    <t>2.1.5</t>
  </si>
  <si>
    <t>2.1.6</t>
  </si>
  <si>
    <t>2.2</t>
  </si>
  <si>
    <t>2.2.1</t>
  </si>
  <si>
    <t>2.2.2</t>
  </si>
  <si>
    <t>2.2.3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</si>
  <si>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</si>
  <si>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>по выданным авансам по арендной плате за пользование имуществом</t>
  </si>
  <si>
    <t>2.3</t>
  </si>
  <si>
    <t>2.3.1</t>
  </si>
  <si>
    <t>2.3.2</t>
  </si>
  <si>
    <t xml:space="preserve">в том числе: кредиторская задолженность по расчетам с поставщиками и подрядчиками за счет средств бюджета города Перми, всего  </t>
  </si>
  <si>
    <t xml:space="preserve">по приобретению непроизведенных активов                   </t>
  </si>
  <si>
    <t>по платежам в бюджет города Перми</t>
  </si>
  <si>
    <t>кредиторская задолженность по расходам за счет бюджетных инвестиций</t>
  </si>
  <si>
    <t>2.3.3</t>
  </si>
  <si>
    <t>Просроченная кредиторская задолженность</t>
  </si>
  <si>
    <t>в том числе: просроченная кредиторская задолженность по расчетам с поставщиками и подрядчиками за счет средств бюджета, всего</t>
  </si>
  <si>
    <t>просроченная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</si>
  <si>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02 1 03 210901</t>
  </si>
  <si>
    <t>07 2 01 006901</t>
  </si>
  <si>
    <t>Целевая субсидия на организацию подвоза учащихся</t>
  </si>
  <si>
    <t>СОШ 71,82</t>
  </si>
  <si>
    <t xml:space="preserve">Перевозка детей </t>
  </si>
  <si>
    <t>07 2 01 007001</t>
  </si>
  <si>
    <t>07 2 01 008401</t>
  </si>
  <si>
    <t>Взносы на капитальный ремонт общего имущества в многоквартирных домах</t>
  </si>
  <si>
    <t>07 3 01 010001</t>
  </si>
  <si>
    <t>07 4 01 005901</t>
  </si>
  <si>
    <t>06 2 01 235701</t>
  </si>
  <si>
    <t>СОШ,УДО,ДОУ</t>
  </si>
  <si>
    <t>06 4 02 005901</t>
  </si>
  <si>
    <t>06  1 01 SС2401</t>
  </si>
  <si>
    <t>06  1 01 SС2402</t>
  </si>
  <si>
    <t>06 3 02 236001</t>
  </si>
  <si>
    <t>Проведение восстановительных программ с участием несовершеннолетних</t>
  </si>
  <si>
    <t>Мероприятия</t>
  </si>
  <si>
    <t>01 2 01 235301</t>
  </si>
  <si>
    <t>07 4 02 006401</t>
  </si>
  <si>
    <t>07 4 02 008201</t>
  </si>
  <si>
    <t>ДОУ,СОШ,УДО,Прочие</t>
  </si>
  <si>
    <t>07 2 02 2С1702</t>
  </si>
  <si>
    <t>07 3 01 820201</t>
  </si>
  <si>
    <t>07 2 01 011601</t>
  </si>
  <si>
    <t>07 2 01 007101</t>
  </si>
  <si>
    <t>05 1 03 005901</t>
  </si>
  <si>
    <t>07 4 03 2Н0202</t>
  </si>
  <si>
    <t>Директор</t>
  </si>
  <si>
    <t>О.Ю.Казанцева</t>
  </si>
  <si>
    <t>Наименование муниципального учреждения Муниципальное автономное общеобразовательное учреждение " Гимназия №1" г.Перми</t>
  </si>
  <si>
    <t>5905006199/590501001</t>
  </si>
  <si>
    <t>02089493</t>
  </si>
  <si>
    <t>614036 ,г. Пермь, ул. Космонавта Леонова, 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</si>
  <si>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</si>
  <si>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    1.2.1.Основные виды экономической деятельности</t>
  </si>
  <si>
    <t xml:space="preserve">ОКВЭД
</t>
  </si>
  <si>
    <t>Начальное общее образование</t>
  </si>
  <si>
    <t>85.12</t>
  </si>
  <si>
    <t xml:space="preserve">Основное общее образование
</t>
  </si>
  <si>
    <t>85.13</t>
  </si>
  <si>
    <t>Среднее (полное) общее образование</t>
  </si>
  <si>
    <t>85.14</t>
  </si>
  <si>
    <t>ОКВЭД</t>
  </si>
  <si>
    <t>Дополнительное образование детей</t>
  </si>
  <si>
    <t>85.41</t>
  </si>
  <si>
    <t>Обучение на подготовительных курсах для поступления в учебные заведения высшего профессионального образования</t>
  </si>
  <si>
    <t>85.41.9</t>
  </si>
  <si>
    <t>Образование для взрослых и прочие виды образования</t>
  </si>
  <si>
    <t>85.4</t>
  </si>
  <si>
    <t>Деятельность столовых при предприятиях и учреждениях</t>
  </si>
  <si>
    <t>56.29</t>
  </si>
  <si>
    <t xml:space="preserve">    1.2.2.Дополнительные виды экономической деятельности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</si>
  <si>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</si>
  <si>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</si>
  <si>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</si>
  <si>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</si>
  <si>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не являющихся участниками бюджетного процесса: 57308709____________________________________________</t>
  </si>
  <si>
    <t>07201005901</t>
  </si>
  <si>
    <t xml:space="preserve">Реализация дополнительных общеразвивающих программ
</t>
  </si>
  <si>
    <t>07201007101</t>
  </si>
  <si>
    <t>на 01 января                    2020 г.</t>
  </si>
  <si>
    <t>на 01 января                    2021 г.</t>
  </si>
  <si>
    <t>000000000</t>
  </si>
  <si>
    <t>800000000</t>
  </si>
  <si>
    <t>072022Н0201</t>
  </si>
  <si>
    <t>07101005900</t>
  </si>
  <si>
    <t>071022Н0200</t>
  </si>
  <si>
    <t>072022Н0200</t>
  </si>
  <si>
    <t>07201005900</t>
  </si>
  <si>
    <t>07201007100</t>
  </si>
  <si>
    <t>08302010700</t>
  </si>
  <si>
    <t>00000000001</t>
  </si>
  <si>
    <t>072022Н0203</t>
  </si>
  <si>
    <t>07201005903</t>
  </si>
  <si>
    <t>00000000003</t>
  </si>
  <si>
    <t>08 3 02 010700</t>
  </si>
  <si>
    <t>071022Н0203</t>
  </si>
  <si>
    <t>1.5. Общая балансовая стоимость движимого муниципального имущества на дату составления Плана, всего: 20966026,81руб.</t>
  </si>
  <si>
    <t>1.4. Общая балансовая стоимость недвижимого муниципального имущества на дату составления Плана, всего: 18373892,65 руб</t>
  </si>
  <si>
    <t>074032Н0202</t>
  </si>
  <si>
    <t>Расчеты (обоснования) к плану финансово-хозяйственной деятельности на 2019 год и плановый период 2020 и 2021 гг.</t>
  </si>
  <si>
    <t>1.Расчеты (обоснования) выплат персоналу (строка 210) &lt;2&gt;</t>
  </si>
  <si>
    <t>Код видов расходов 111, 112, 119</t>
  </si>
  <si>
    <t>Источник финансового обеспечения</t>
  </si>
  <si>
    <t xml:space="preserve">Субсидии на выполнение государственного (муниципального) задания </t>
  </si>
  <si>
    <t>1.1. Расчеты (обоснования) расходов на оплату труда</t>
  </si>
  <si>
    <t>N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</si>
  <si>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</si>
  <si>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</si>
  <si>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</si>
  <si>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</si>
  <si>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</si>
  <si>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</si>
  <si>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Источник финансирования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</si>
  <si>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</si>
  <si>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</si>
  <si>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</si>
  <si>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АУП</t>
  </si>
  <si>
    <t xml:space="preserve">Бюджет Пермского края </t>
  </si>
  <si>
    <t>Педагоги</t>
  </si>
  <si>
    <t>Учителя</t>
  </si>
  <si>
    <t>Прочие</t>
  </si>
  <si>
    <t xml:space="preserve">Итого: </t>
  </si>
  <si>
    <t>х</t>
  </si>
  <si>
    <t>Бюджет города Перми</t>
  </si>
  <si>
    <t>&lt;1&gt; Расчеты (обоснования) плановых показателей по выплатам формируются раздельно по источникам финансового обеспечения в случае принятия органом, осуществляющим функции и полномочия учредителя, решения о планировании выплат по соответствующим расходам (по строкам 210-250 в графах 5-10) раздельно по источникам их финансового обеспечения.
&lt;2&gt; В расчет (обоснование) плановых показателей выплат персоналу (строка 210 в таблицах 2, 3, 4 приложения к Порядку) 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страхование. При расчете плановых показателей по оплате труда учитывается расчетная численность работников, включая основной персонал, вспомогательный персонал, административно-управленческий персонал, обслуживающий персонал, расчетные должностные оклады, ежемесячные надбавки к должностному окладу, районные коэффициенты, стимулирующие выплаты, компенсационные выплаты, в том числе за работу с вредными и (или) опасными условиями труда, при выполнении работ в других условиях, отклоняющихся от нормальных, а также иные выплаты, предусмотренные законодательством Российской Федерации, локальными нормативными актами Учреждения в соответствии с утвержденным штатным расписанием, а также индексация указанных выплат.
При расчете плановых показателей выплат компенсационного характера персоналу учреждений, не включаемых в фонд оплаты труда, учитываются выплаты по возмещению работникам (сотрудникам) расходов, связанных со служебными командировками, возмещению расходов на прохождение медицинского осмотра, компенсации расходов на оплату стоимости проезда и провоза багажа к месту использования отпуска и обратно для лиц, работающих в районах крайнего Севера и приравненных к ним местностях, и членов их семей, иные компенсационные выплаты работникам, предусмотренные законодательством Российской Федерации, локальными нормативными актами Учреждения.</t>
  </si>
  <si>
    <t xml:space="preserve">1.2. Расчеты (обоснования) выплат персоналу при направлении в служебные командировки 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</si>
  <si>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</si>
  <si>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</si>
  <si>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</si>
  <si>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
дней</t>
  </si>
  <si>
    <t>Сумма в год, руб. (гр. 3 х гр. 4 х гр. 5)</t>
  </si>
  <si>
    <t>Итого:</t>
  </si>
  <si>
    <t xml:space="preserve">1.3.  Расчеты (обоснования) выплат персоналу по уходу за ребенком </t>
  </si>
  <si>
    <t>Численность работников, получающих пособие</t>
  </si>
  <si>
    <t>Количество выплат в год на одного работника</t>
  </si>
  <si>
    <t>Размер выплаты пособия 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</si>
  <si>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</si>
  <si>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Наименование государственного внебюджетного фонда</t>
  </si>
  <si>
    <t xml:space="preserve">Размер базы для начисления страховых взносов, руб
</t>
  </si>
  <si>
    <t>Сумма  в год, руб.</t>
  </si>
  <si>
    <t xml:space="preserve">Сумма взноса, руб
</t>
  </si>
  <si>
    <t>Страховые взносы в Пенсионный фонд Российской Федерации, всего</t>
  </si>
  <si>
    <t>1.1</t>
  </si>
  <si>
    <t>в том числе:
по ставке 22,0%</t>
  </si>
  <si>
    <t>1.2.</t>
  </si>
  <si>
    <t>по ставке 10,0%</t>
  </si>
  <si>
    <t>1.3.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</si>
  <si>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</si>
  <si>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</si>
  <si>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</si>
  <si>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2.1.</t>
  </si>
  <si>
    <t>в том числе:
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</si>
  <si>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</si>
  <si>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Российской Федерации по ставке 0,0%</t>
  </si>
  <si>
    <t>2.3.</t>
  </si>
  <si>
    <t>обязательное социальное страхование от несчастных случаев на производстве и профессиональных заболеваний по ставке 0,2%</t>
  </si>
  <si>
    <t>2.4.</t>
  </si>
  <si>
    <t>обязательное социальное страхование от несчастных случаев на производстве и профессиональных заболеваний по ставке 0,_% &lt;4&gt;</t>
  </si>
  <si>
    <t>2.5.</t>
  </si>
  <si>
    <t>3</t>
  </si>
  <si>
    <t>Страховые взносы в Федеральный фонд обязательного медицинского страхования, всего (по ставке 5,1%)</t>
  </si>
  <si>
    <t>&lt;3&gt; При расчете плановых показателей страховых взносов в Пенсионный фонд Российской Федерации на обязательное пенсионное страхование, в Фонд социального страхования Российской Федерации на обязательное социальное страхование на случай временной нетрудоспособности и в связи с материнством, в Федеральный фонд обязательного медицинского страхования на обязательное медицинское страхование, а также страховых взносов на обязательное социальное страхование от несчастных случаев на производстве и профессиональных заболеваний учитываются тарифы страховых взносов, установленные законодательством Российской Федерации.
&lt;4&gt;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год".</t>
  </si>
  <si>
    <t>2. Расчет (обоснование) расходов на социальные и иные выплаты населению (строка 220) &lt;5&gt;</t>
  </si>
  <si>
    <t>Код видов расходов 321-350</t>
  </si>
  <si>
    <t>Субсидии на выполнение государственного (муниципального) задания</t>
  </si>
  <si>
    <t>Размер одной выплаты, руб.</t>
  </si>
  <si>
    <t>Количество 
выплат в год</t>
  </si>
  <si>
    <t>Общая сумма выплат, руб. 
(гр. 3 x гр. 4)</t>
  </si>
  <si>
    <t>1</t>
  </si>
  <si>
    <t>&lt;5&gt; Расчет (обоснование) плановых показателей социальных и иных выплат населению (строка 220 в таблицах 2, 3, 4 приложения к Порядку), не связанных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страхования, в том числе на оплату медицинского обслуживания, оплату путевок на санаторно-курортное лечение и в детские оздоровительные лагеря, а также выплат бывшим работникам учреждений, в том числе к памятным датам, профессиональным праздникам, осуществляется с учетом количества планируемых выплат в год и их размера.</t>
  </si>
  <si>
    <t>3. Расчет (обоснование) расходов на уплату налогов, сборов и иных платежей (строка 230) &lt;6&gt;</t>
  </si>
  <si>
    <t>Код видов расходов 851-853</t>
  </si>
  <si>
    <t xml:space="preserve">Наименование расходов
</t>
  </si>
  <si>
    <t xml:space="preserve">Налоговая база, руб.
</t>
  </si>
  <si>
    <t xml:space="preserve">Ставка налога, %
</t>
  </si>
  <si>
    <t xml:space="preserve">Сумма исчисленного налога, подлежащего уплате, руб. (гр. 3 x гр. 4 / 100)
</t>
  </si>
  <si>
    <t>Земельный налог</t>
  </si>
  <si>
    <t>Налог на имущество</t>
  </si>
  <si>
    <t>Плата за негативное воздействие на окружающую среду</t>
  </si>
  <si>
    <t>&lt;6&gt; Расчет (обоснование) расходов по уплате налогов, сборов и иных платежей (строка 230 в таблицах 2, 3, 4 приложения к Порядку) осуществляется с учетом объекта налогообложения, особенностей определения налоговой базы, налоговых льгот, оснований и порядка их применения, а также налоговой ставки, порядка и сроков уплаты по каждому налогу в соответствии с законодательством Российской Федерации о налогах и сборах.</t>
  </si>
  <si>
    <t>4.  Расчет (обоснование) расходов на безвозмездное перечисление организациям (строка 240) &lt;7&gt;</t>
  </si>
  <si>
    <t xml:space="preserve">
</t>
  </si>
  <si>
    <t>Код видов расходов</t>
  </si>
  <si>
    <t>&lt;7&gt; Расчет (обоснование) плановых показателей безвозмездных перечислений организациям (строка 240 в таблицах 2, 3, 4 приложения к Порядку) осуществляется с учетом количества планируемых безвозмездных перечислений организациям в год и их размера.</t>
  </si>
  <si>
    <t>5. Расчет (обоснование) прочих расходов (кроме расходов на закупку товаров, работ, услуг) (строка 250) &lt;8&gt;</t>
  </si>
  <si>
    <t>&lt;8&gt; Расчет (обоснование) прочих расходов (кроме расходов на закупку товаров, работ, услуг) (строка 250 в таблицах 2, 3, 4 приложения к Порядку) осуществляется по видам выплат с учетом количества планируемых выплат в год и их размера.</t>
  </si>
  <si>
    <t>6. Расчет (обоснование) расходов на закупку товаров, работ, услуг (строка 260) &lt;9&gt;</t>
  </si>
  <si>
    <t>Код видов расходов 244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</si>
  <si>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</si>
  <si>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</si>
  <si>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</si>
  <si>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</si>
  <si>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>Сумма, руб. 
(гр. 3 x гр. 4 x 
гр. 5)</t>
  </si>
  <si>
    <t>Абонентская плата за стационарный номер</t>
  </si>
  <si>
    <t xml:space="preserve">Предоставление доступа в Интернет   </t>
  </si>
  <si>
    <t xml:space="preserve"> Итого:</t>
  </si>
  <si>
    <t>&lt;9&gt; В расчет расходов на закупку товаров, работ, услуг (строка 260 в таблицах 2, 3, 4 приложения к Порядку) включаются расходы на оплату услуг связи, транспортных услуг, коммунальных услуг, на оплату аренды имущества, содержание имущества, прочих работ и услуг (к примеру, услуг по страхованию, в том числе обязательному страхованию гражданской ответственности владельцев транспортных средств, медицинских осмотров, информационных услуг, консультационных услуг, экспертных услуг, типографских работ, научно-исследовательских работ), определяемых с учетом требований к закупаемым заказчиками отдельным видам товаров, работ, услуг в соответствии с законодательством Российской Федерации о контрактной системе в сфере закупок товаров, работ для обеспечения государственных и муниципальных нужд.
Расчет плановых показателей на оплату услуг связи должен учитывать количество абонентских номеров, подключенных к сети связи, цены услуг связи, ежемесячную абонентскую плату в расчете на один абонентский номер, количество месяцев предоставления услуги; размер повременной оплаты междугородних, международных и местных телефонных соединений, а также стоимость услуг при повременной оплате услуг телефонной связи, количество пересылаемой корреспонденции, в том числе с использованием фельдъегерской и специальной связи, стоимость пересылки почтовой корреспонденции за единицу услуги, стоимость аренды интернет-канала, повременной оплаты за интернет-услуги или оплаты интернет-трафика.</t>
  </si>
  <si>
    <t xml:space="preserve"> 6.2. Расчет (обоснование) расходов на оплату транспортных услуг &lt;10&gt;</t>
  </si>
  <si>
    <t>Количество 
услуг 
перевозки</t>
  </si>
  <si>
    <t>Цена услуги перевозки, 
руб.</t>
  </si>
  <si>
    <t>Сумма, руб. 
(гр. 3 x гр. 4)</t>
  </si>
  <si>
    <t>&lt;10&gt; Расчет (обоснование) плановых показателей по оплате транспортных услуг осуществляется с учетом видов услуг по перевозке (транспортировке) грузов, пассажирских перевозок (количества заключенных договоров) и стоимости указанных услуг.</t>
  </si>
  <si>
    <t>6.3. Расчет (обоснование) расходов на оплату коммунальных услуг &lt;11&gt;</t>
  </si>
  <si>
    <t>Размер потребления ресурсов</t>
  </si>
  <si>
    <t>Тариф 
(с учетом НДС), руб.</t>
  </si>
  <si>
    <t>Индексация, 
%</t>
  </si>
  <si>
    <t>Теплоэнергия</t>
  </si>
  <si>
    <t>Электроэнергия</t>
  </si>
  <si>
    <t>Водоснабжение и водоотведение</t>
  </si>
  <si>
    <t>&lt;11&gt; Расчет (обоснование) плановых показателей по оплате коммунальных услуг включает в себя расчеты расходов на газоснабжение (иные виды топлива), на электроснабжение, теплоснабжение, горячее водоснабжение, холодное водоснабжение и водоотведение с учетом количества заключенных договоров о предоставлении коммунальных услуг, объектов, тарифов на оказание коммунальных услуг (в том числе с учетом применяемого одноставочного, дифференцированного по зонам суток или двуставочного тарифа на электроэнергию), расчетной потребности планового потребления услуг и затраты на транспортировку топлива (при наличии).</t>
  </si>
  <si>
    <t>6.4. Расчет (обоснование) расходов на оплату аренды имущества &lt;12&gt;</t>
  </si>
  <si>
    <t>Количество</t>
  </si>
  <si>
    <t>Ставка 
арендной 
платы</t>
  </si>
  <si>
    <t>Стоимость 
с учетом НДС, 
руб.</t>
  </si>
  <si>
    <t>&lt;12&gt; Расчеты (обоснования) расходов на оплату аренды имущества, в том числе объектов недвижимого имущества, определяются с учетом арендуемой площади (количества арендуемого оборудования, иного имущества), количества месяцев (суток, часов) аренды, цены аренды в месяц (сутки, час), а также стоимости возмещаемых услуг (по содержанию имущества, его охране, потребляемых коммунальных услуг).</t>
  </si>
  <si>
    <t>6.5. Расчет (обоснование) расходов на оплату работ, услуг по содержанию имущества &lt;13&gt;</t>
  </si>
  <si>
    <t>Объект</t>
  </si>
  <si>
    <t>Количество 
работ 
(услуг)</t>
  </si>
  <si>
    <t>Стоимость 
работ (услуг), 
руб.</t>
  </si>
  <si>
    <t>Вывоз мусора</t>
  </si>
  <si>
    <t>Гимназия №1</t>
  </si>
  <si>
    <t>Дезинсекция</t>
  </si>
  <si>
    <t>Противопожарная защита</t>
  </si>
  <si>
    <t>Клиниг(уборщ.)</t>
  </si>
  <si>
    <t>Клиниг(дворн,видеонабл)</t>
  </si>
  <si>
    <t>Очистка крыш</t>
  </si>
  <si>
    <t>Мытье окон</t>
  </si>
  <si>
    <t>Трев.кнопка</t>
  </si>
  <si>
    <t>Опрессовка</t>
  </si>
  <si>
    <t>Аварийные раб.,текущ.рем.</t>
  </si>
  <si>
    <t>Виз.и инстр.обслед.</t>
  </si>
  <si>
    <t>&lt;13&gt; Расчеты (обоснования) расходов на содержание имущества осуществляются с учетом планов ремонтных работ и их сметной стоимости, определенной с учетом необходимого объема ремонтных работ, графика регламентно-профилактических работ по ремонту оборудования, требований у санитарно-гигиеническому обслуживанию, охране труда (включая уборку помещений и территории, вывоз твердых бытовых отходов, мойку, химическую чистку, дезинфекцию, дезинсекцию), а также правил его эксплуатации для оказания государственной (муниципальной) услуги.</t>
  </si>
  <si>
    <t>6.6. Расчет (обоснование) расходов на оплату прочих работ, услуг &lt;14&gt;</t>
  </si>
  <si>
    <t>Количество договоров</t>
  </si>
  <si>
    <t>Стоимость 
услуги, руб.</t>
  </si>
  <si>
    <t>Обслуживание баз данных,лицензионные права</t>
  </si>
  <si>
    <t>Обучение персонала,проф.пробы</t>
  </si>
  <si>
    <t>Подписка</t>
  </si>
  <si>
    <t>Охрана</t>
  </si>
  <si>
    <t>&lt;14&gt; Расчеты (обоснования) расходов на оплату работ и услуг, не относящихся к расходам на оплату услуг связи, транспортных расходов, коммунальных услуг, расходов на аренду имущества, а также работ и услуг по его содержанию, включают в себя расчеты необходимых выплат на страхование, в том числе на обязательное страхование гражданской ответственности владельцев транспортных средств, типографские услуги, информационные услуги с учетом количества печатных изданий, количества подаваемых объявлений, количества приобретаемых бланков строгой отчетности, приобретаемых периодических изданий.
Страховая премия (страховые взносы) определяется в соответствии с количеством застрахованных работников, застрахованного имущества, с учетом базовых ставок страховых тарифов и поправочных коэффициентов к ним, определяемых с учетом технических характеристик застрахованного имущества, характера страхового риска и условий договора страхования, в том числе наличия франшизы и ее размера в соответствии с условиями договора страхования.
Расходы на повышение квалификации (профессиональную переподготовку) определяются с учетом требований законодательства Российской Федерации, количества работников, направляемых на повышение квалификации, и цены обучения одного работника по каждому виду дополнительного профессионального образования.</t>
  </si>
  <si>
    <t>6.7.  Расчет (обоснование) расходов на приобретение основных средств &lt;15&gt;</t>
  </si>
  <si>
    <t>Средняя стоимость, руб.</t>
  </si>
  <si>
    <t>Стоимость работ (услуг), руб. (гр. 3 х гр. 4)</t>
  </si>
  <si>
    <t>Учебники</t>
  </si>
  <si>
    <t>Оборудование</t>
  </si>
  <si>
    <t>Мебель</t>
  </si>
  <si>
    <t>6.8.  Расчет (обоснование) расходов на приобретение материальных запасов &lt;15&gt;</t>
  </si>
  <si>
    <t>Зап.части к оборудованию</t>
  </si>
  <si>
    <t>Хоз.товары</t>
  </si>
  <si>
    <t>Строительные материалы</t>
  </si>
  <si>
    <t>Канцтовары</t>
  </si>
  <si>
    <t>Медикаменты</t>
  </si>
  <si>
    <t>&lt;15&gt; Расчеты (обоснования) расходов на приобретение основных средств (к примеру, оборудования, транспортных средств, мебели, инвентаря, бытовых приборов) осуществляются с учетом среднего срока эксплуатации амортизируемого имущества. При расчетах (обоснованиях) применяются нормы обеспеченности таким имуществом, выраженные в натуральных показателях, установленные правовыми актами, а также стоимость приобретения необходимого имущества, определенная методом сопоставимых рыночных цен (анализа рынка), заключающимся в анализе информации о рыночных ценах идентичных (однородных) товаров, работ, услуг, в том числе информации о ценах организаций-изготовителей, об уровне цен, имеющихся у органов государственной статистики, а также в средствах массовой информации и специальной литературе, включая официальные сайты в информационно-телекоммуникационной сети "Интернет" производителей и поставщиков.
Расчеты (обоснования) расходов на приобретение материальных запасов осуществляются с учетом потребности в продуктах питания, лекарственных средствах, горюче-смазочных и строительных материалах, мягком инвентаре и специальной одежде и обуви, запасных частях к оборудованию и транспортным средствам, хозяйственных товарах и канцелярских принадлежностях в соответствии с нормами обеспеченности таким имуществом, выраженными в натуральных показателях.</t>
  </si>
  <si>
    <t>6.9.  Расчет (обоснование) расходов на прочие расходы</t>
  </si>
  <si>
    <t>Итого выплат по расходам плана ФХД</t>
  </si>
  <si>
    <t>Источник</t>
  </si>
  <si>
    <t>Всего расходов  в год, руб.</t>
  </si>
  <si>
    <t>Бюджет Пермского края</t>
  </si>
  <si>
    <t>Итого</t>
  </si>
  <si>
    <t>Руководитель учреждения</t>
  </si>
  <si>
    <t>_____________________</t>
  </si>
  <si>
    <t>(О.Ю.Казанцева)</t>
  </si>
  <si>
    <t>Субсидии на иные цели</t>
  </si>
  <si>
    <t>Меры социальной поддержки учащимся из малоимущих семей в части удешевления питания</t>
  </si>
  <si>
    <t>Меры социальной поддержки учащимся из многодетных малоимущих семей в части удешевления питания</t>
  </si>
  <si>
    <t>Меры социальной поддержки учащимся из многодетных малоимущих семей в части приобретения одежды (мальчики)</t>
  </si>
  <si>
    <t>4</t>
  </si>
  <si>
    <t>Меры социальной поддержки учащимся из многодетных малоимущих семей в части приобретения одежды (девочки)</t>
  </si>
  <si>
    <t>5</t>
  </si>
  <si>
    <t>6</t>
  </si>
  <si>
    <t>7</t>
  </si>
  <si>
    <t>8</t>
  </si>
  <si>
    <t>9</t>
  </si>
  <si>
    <t>Код видов расходов______________________________________________________________</t>
  </si>
  <si>
    <t>Источник финансового обеспечения________________________________________________</t>
  </si>
  <si>
    <t>Приносящая доход деятельность (собственные доходы учреждения)</t>
  </si>
  <si>
    <t>Внебюджетные  источники</t>
  </si>
  <si>
    <t>Сумма в год, руб.        (гр. 3 х гр. 4 х гр. 5)</t>
  </si>
  <si>
    <t>Внебюджетные источники</t>
  </si>
  <si>
    <t>Внебюджетные источники, руб. 
(гр. 3 x гр. 4)</t>
  </si>
  <si>
    <t>Код видов расходов 831-853</t>
  </si>
  <si>
    <t xml:space="preserve">Сумма исчисленного налога, подлежащего уплате, руб.                                      (гр. 3 x гр. 4 / 100)                             
</t>
  </si>
  <si>
    <t>Внебюджетные источники, руб.</t>
  </si>
  <si>
    <t>Штрафы, пени</t>
  </si>
  <si>
    <t>Членский взнос</t>
  </si>
  <si>
    <t>Общая сумма выплат  в год   (гр. 3 x гр. 4), руб.</t>
  </si>
  <si>
    <t xml:space="preserve">Внебюджетные источники          </t>
  </si>
  <si>
    <t>Общая сумма выплат  в год (гр. 3 x гр. 4), руб.</t>
  </si>
  <si>
    <t xml:space="preserve">Внебюджетные источники         </t>
  </si>
  <si>
    <t>Сумма  в год                             (гр. 3 x гр. 4 x гр. 5), руб.</t>
  </si>
  <si>
    <t xml:space="preserve">Внебюджетные источники          
</t>
  </si>
  <si>
    <t>Сумма  в год                                  (гр. 3 x гр. 4), руб.</t>
  </si>
  <si>
    <t xml:space="preserve">Внебюджетные источники </t>
  </si>
  <si>
    <t>Транспортные расходы</t>
  </si>
  <si>
    <t>Внебюджетные источники, стоимость
с учетом НДС, 
руб.</t>
  </si>
  <si>
    <t>Стоимость работ (услуг) в год, руб.</t>
  </si>
  <si>
    <t xml:space="preserve">Внебюджетные источники                </t>
  </si>
  <si>
    <t>Обслуживание кас.аппарата</t>
  </si>
  <si>
    <t>Стоимость услуги  в год, руб.</t>
  </si>
  <si>
    <t xml:space="preserve">Внебюджетные источники           </t>
  </si>
  <si>
    <t>Банковское обслуживание</t>
  </si>
  <si>
    <t>Медосмотры</t>
  </si>
  <si>
    <t>Проведение мероприятий</t>
  </si>
  <si>
    <t>Оплата договоров</t>
  </si>
  <si>
    <t>Стоимость работ (услуг)  в год ( гр. 3 х гр. 4), руб.</t>
  </si>
  <si>
    <t xml:space="preserve">Внебюджетные источники                                        </t>
  </si>
  <si>
    <t xml:space="preserve">Внебюджетные источники                 </t>
  </si>
  <si>
    <t>3-дня больничных</t>
  </si>
  <si>
    <t>3- дня больничных</t>
  </si>
  <si>
    <t>Монтаж и наладка</t>
  </si>
  <si>
    <t>монтаж и наладка</t>
  </si>
  <si>
    <t>работы, услуги  для целей кап.вложений</t>
  </si>
  <si>
    <t>Строй материалы</t>
  </si>
  <si>
    <t>Зап,части</t>
  </si>
  <si>
    <t>-</t>
  </si>
  <si>
    <t>901480000</t>
  </si>
  <si>
    <t>901160000</t>
  </si>
  <si>
    <t>901830000</t>
  </si>
  <si>
    <t>901150000</t>
  </si>
  <si>
    <t>Выходное пособие</t>
  </si>
  <si>
    <t>Пенсии, пособия, выплачиваемые работодателями, нанимателями бывшим работникам в денежной форме</t>
  </si>
  <si>
    <t>Пособие на период трудоустройства</t>
  </si>
  <si>
    <t>Призы, подарки</t>
  </si>
  <si>
    <t xml:space="preserve">телефон </t>
  </si>
  <si>
    <t xml:space="preserve">   "    "                              2019</t>
  </si>
  <si>
    <t>на "    "                   2019  г.</t>
  </si>
  <si>
    <t>на "    "                           2019  г.</t>
  </si>
  <si>
    <t>Расчет обоснования изменений</t>
  </si>
  <si>
    <t>В части приносящей доход деятельности</t>
  </si>
  <si>
    <t>Отклонение (руб)</t>
  </si>
  <si>
    <t xml:space="preserve">Примечание </t>
  </si>
  <si>
    <t>Итого поступления</t>
  </si>
  <si>
    <t>851/290</t>
  </si>
  <si>
    <t>851/291</t>
  </si>
  <si>
    <t>852/291</t>
  </si>
  <si>
    <t>853/297</t>
  </si>
  <si>
    <t>Итого выплаты</t>
  </si>
  <si>
    <t>В части субсидий на муниципальное задание</t>
  </si>
  <si>
    <t>112/266</t>
  </si>
  <si>
    <t>853/290</t>
  </si>
  <si>
    <t>853/291</t>
  </si>
  <si>
    <t>В части субсидий на иные цели</t>
  </si>
  <si>
    <t>Главный бухгалтер ОУ:</t>
  </si>
  <si>
    <t>в штате отсутствует</t>
  </si>
  <si>
    <r>
      <t xml:space="preserve">Учреждение:    </t>
    </r>
    <r>
      <rPr>
        <b/>
        <i/>
        <sz val="16"/>
        <color indexed="8"/>
        <rFont val="Times New Roman"/>
        <family val="1"/>
      </rPr>
      <t>МАОУ "Гимназия №1" г. Перми</t>
    </r>
  </si>
  <si>
    <t>Исполнитель специалист</t>
  </si>
  <si>
    <t xml:space="preserve">Тел.: </t>
  </si>
  <si>
    <t>111/211</t>
  </si>
  <si>
    <t>111/266</t>
  </si>
  <si>
    <t>850/290</t>
  </si>
  <si>
    <t>853/292</t>
  </si>
  <si>
    <t>112/267</t>
  </si>
  <si>
    <t>06 4 02 005903</t>
  </si>
  <si>
    <t>Лагерь</t>
  </si>
  <si>
    <t>901270000</t>
  </si>
  <si>
    <t>901890000</t>
  </si>
  <si>
    <t>901870000</t>
  </si>
  <si>
    <t>07 2 02 2Н0203</t>
  </si>
  <si>
    <t>Организация оздоровления и отдыха детей</t>
  </si>
  <si>
    <t>07 4 02 008203</t>
  </si>
  <si>
    <t>ЛИСТ СОГЛАСОВАНИЙ</t>
  </si>
  <si>
    <r>
      <t>Название проекта:</t>
    </r>
    <r>
      <rPr>
        <sz val="12"/>
        <color indexed="8"/>
        <rFont val="Times New Roman"/>
        <family val="1"/>
      </rPr>
      <t xml:space="preserve"> план финансово-хозяйственной деятельности на 2019-2021 гг.  образовательного учреждения</t>
    </r>
  </si>
  <si>
    <t xml:space="preserve">  </t>
  </si>
  <si>
    <t>Должность и наименование структурного подразделения администрации города</t>
  </si>
  <si>
    <t>Фамилия, инициалы</t>
  </si>
  <si>
    <t>Дата поступления</t>
  </si>
  <si>
    <t>Замечания,предложения</t>
  </si>
  <si>
    <t>Подпись</t>
  </si>
  <si>
    <t>Желтова О.Ю.</t>
  </si>
  <si>
    <t>Изменений нет</t>
  </si>
  <si>
    <t>МАОУ "Гимназия №1" г.Перми</t>
  </si>
  <si>
    <t xml:space="preserve">тел. </t>
  </si>
  <si>
    <t xml:space="preserve">Исполнитель специалист </t>
  </si>
  <si>
    <t>Директор МКУ «ЦБУиО»</t>
  </si>
  <si>
    <t>Отдел планирования и исполнения бюджета МКУ «ЦБУиО»</t>
  </si>
  <si>
    <t xml:space="preserve">Отдел формирования и контроля исполнения муниципального задания МКУ «ЦБУиО» </t>
  </si>
  <si>
    <t>Отдел консолидированной отчетности МКУ «ЦБУиО»</t>
  </si>
  <si>
    <t>УоБ</t>
  </si>
  <si>
    <t>Медали</t>
  </si>
  <si>
    <t>Аттестаты</t>
  </si>
  <si>
    <t>УМК для УоБ</t>
  </si>
  <si>
    <t>Санкур</t>
  </si>
  <si>
    <t>1.1. 1 Расчеты (обоснования) выплат персоналу по социальным пособиям и компенсациям</t>
  </si>
  <si>
    <t>071022Н0201</t>
  </si>
  <si>
    <t>услуги связзи</t>
  </si>
  <si>
    <t>07101005903</t>
  </si>
  <si>
    <t>страховка</t>
  </si>
  <si>
    <t>901140000</t>
  </si>
  <si>
    <t>Меры социальной поддержки педагогических работников - средства Пермского края</t>
  </si>
  <si>
    <t>Расходы на ведение лектронных дневников и журналов</t>
  </si>
  <si>
    <t>Компенсация части родительской платы</t>
  </si>
  <si>
    <t>Меры социальной поддержки учащимся из многодетных малоимущих семей (питание)</t>
  </si>
  <si>
    <t>Меры социальной поддержки учащимся из многодетных малоимущих семей (одежда)</t>
  </si>
  <si>
    <t xml:space="preserve">Меры социальной поддержки учащимся из малоимущих семей </t>
  </si>
  <si>
    <t>Меры социальной поддержки педагогических работников - средства Пермского края (единовременные выплаты)</t>
  </si>
  <si>
    <t>Конвертация данных для централизации учета</t>
  </si>
  <si>
    <t>Обеспечение работников путевками на санаторно-курортное лечение и оздоровление - средства г.Перми</t>
  </si>
  <si>
    <t>06101SC2401</t>
  </si>
  <si>
    <t>Обеспечение работников путевками на санаторно-курортное лечение и оздоровление - средства Пермского края</t>
  </si>
  <si>
    <t>06101SC2402</t>
  </si>
  <si>
    <t>Меры социальной поддержки педагогических работников (единовременные выплаты)</t>
  </si>
  <si>
    <t>901060000</t>
  </si>
  <si>
    <t>просие работы, услуги</t>
  </si>
  <si>
    <t>901370000</t>
  </si>
  <si>
    <t>91100221503</t>
  </si>
  <si>
    <t>стройматериалы</t>
  </si>
  <si>
    <t>мягкий инвентарь</t>
  </si>
  <si>
    <t>074032Н0201</t>
  </si>
  <si>
    <t>План по состоянию на 17.06.2019 (руб)</t>
  </si>
  <si>
    <t>План по состоянию на 28.06.2019 (руб)</t>
  </si>
  <si>
    <t>853/295</t>
  </si>
  <si>
    <t>321/264</t>
  </si>
  <si>
    <t>МАОУ "Гимназия №1"</t>
  </si>
  <si>
    <t>1.1.1 Расчеты (обоснования) расходов на оплату труда</t>
  </si>
  <si>
    <t>выплаты по уходу за ребенком до 3-х лет</t>
  </si>
  <si>
    <t>1.4.1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&lt;3&gt;</t>
  </si>
  <si>
    <t>3.1 Расчет (обоснование) расходов на уплату налогов, сборов и иных платежей (строка 230) &lt;6&gt;</t>
  </si>
  <si>
    <t>6.1.1 Расчет (обоснование) расходов на оплату услуг связи</t>
  </si>
  <si>
    <t>услуги интернет</t>
  </si>
  <si>
    <t>6.3.1 Расчет (обоснование) расходов на оплату коммунальных услуг &lt;11&gt;</t>
  </si>
  <si>
    <t>тепловая энергия</t>
  </si>
  <si>
    <t>электрическая энергия</t>
  </si>
  <si>
    <t>водоснабжение, водоотведение</t>
  </si>
  <si>
    <t>6.5.1 Расчет (обоснование) расходов на оплату работ, услуг по содержанию имущества &lt;13&gt;</t>
  </si>
  <si>
    <t>дератизация, дезинсекция</t>
  </si>
  <si>
    <t>ООО "Дезцентр-Пермь"</t>
  </si>
  <si>
    <t>техническое обслуживание оборудования системы ОПС</t>
  </si>
  <si>
    <t>ООО "ЧОА "Аргентум-Секьюрити"</t>
  </si>
  <si>
    <t>обслуживание оборудования</t>
  </si>
  <si>
    <t>ИП Иванов Сергей Юрьевич</t>
  </si>
  <si>
    <t>техническое обслуживания домофонной системы, видеонаблюдения и автоматических ворот</t>
  </si>
  <si>
    <t>ИП Губанов Михаил Александрович</t>
  </si>
  <si>
    <t>техническое обслуживание противопожарных дверей</t>
  </si>
  <si>
    <t>ООО "АВД"</t>
  </si>
  <si>
    <t>вывоз ТБО, КГО</t>
  </si>
  <si>
    <t>ООО "Рециклинг"</t>
  </si>
  <si>
    <t>техническое обслуживание объектовой станции ПАК "Стрелец-Мониторинг"</t>
  </si>
  <si>
    <t>ООО "Служба-Мониторинг"</t>
  </si>
  <si>
    <t>заправка картриджей</t>
  </si>
  <si>
    <t>ИП Ташкинов Иван Алексеевич</t>
  </si>
  <si>
    <t>техническое обслуживание системы отопления, водоснабжения, канализации</t>
  </si>
  <si>
    <t>Мотырев Михаил Николаевич</t>
  </si>
  <si>
    <t>техническое обслуживание комплекса технических средств</t>
  </si>
  <si>
    <t>ФГУП "Охрана "Федеральной службы войск национальной гвардии РФ"</t>
  </si>
  <si>
    <t>стирка, глажка белья</t>
  </si>
  <si>
    <t>ООО "Формула чистоты"</t>
  </si>
  <si>
    <t>проверка вентиляции</t>
  </si>
  <si>
    <t>ООО "Экострой"</t>
  </si>
  <si>
    <t>опрессовка теплового узла, бойлера</t>
  </si>
  <si>
    <t>текущий ремонт</t>
  </si>
  <si>
    <t>хамена счетчика ГВС</t>
  </si>
  <si>
    <t>6.6.1 Расчет (обоснование) расходов на оплату прочих работ, услуг &lt;14&gt;</t>
  </si>
  <si>
    <t>услуги по наблюдению и реагированию на сигналы КЭВП</t>
  </si>
  <si>
    <t>ежемесячный съем показаний с узла учета тепловой энергии</t>
  </si>
  <si>
    <t>сопровождение задач информационной системы бухгалтерского учета</t>
  </si>
  <si>
    <t>услуги охраны</t>
  </si>
  <si>
    <t>электронная система "Госфинансы"</t>
  </si>
  <si>
    <t>услуги технического мониторинга</t>
  </si>
  <si>
    <t>электронные ключи</t>
  </si>
  <si>
    <t>опубликование сообщения</t>
  </si>
  <si>
    <t>страхование имущества</t>
  </si>
  <si>
    <t>пробы песка</t>
  </si>
  <si>
    <t>поверка весов</t>
  </si>
  <si>
    <t>курсы повышения квалификации педагогического персонала</t>
  </si>
  <si>
    <t>6.7.1  Расчет (обоснование) расходов на приобретение основных средств &lt;15&gt;</t>
  </si>
  <si>
    <t>учебники</t>
  </si>
  <si>
    <t>планшеты, ноутбуки</t>
  </si>
  <si>
    <t>игровое оборудование, малые формы</t>
  </si>
  <si>
    <t>6.8.1  Расчет (обоснование) расходов на приобретение материальных запасов &lt;15&gt;</t>
  </si>
  <si>
    <t>чистящие и моющие средства</t>
  </si>
  <si>
    <t>посуда</t>
  </si>
  <si>
    <t>канцелярские товары</t>
  </si>
  <si>
    <t>объекты доступной среды</t>
  </si>
  <si>
    <t>песок</t>
  </si>
  <si>
    <t xml:space="preserve">1.3.1  Расчеты (обоснования) выплат персоналу и выплат по уходу за ребенком </t>
  </si>
  <si>
    <t>единовременные выплаты - 23 статья</t>
  </si>
  <si>
    <t>2.1 Расчет (обоснование) расходов на социальные и иные выплаты населению (строка 220) &lt;5&gt;</t>
  </si>
  <si>
    <t>Ожидаемая кредиторская задолженность на 01.01.2019г. по предоставление бесплатного питания отдельным категориям учащихся в общеобразовательных учреждениях</t>
  </si>
  <si>
    <t>Обеспечение работников путевками на санаторно-курортное лечение и оздоровление</t>
  </si>
  <si>
    <t>Конвертация</t>
  </si>
  <si>
    <t>конвертация</t>
  </si>
  <si>
    <t>1.1 Расчеты (обоснования) выплат персоналу (строка 210) &lt;2&gt;</t>
  </si>
  <si>
    <t>Административный штраф</t>
  </si>
  <si>
    <t>ремонт отопления в спортзале</t>
  </si>
  <si>
    <t>ремонт кровли склада</t>
  </si>
  <si>
    <t>кронирование деревьев</t>
  </si>
  <si>
    <t>ремонт в прачечной</t>
  </si>
  <si>
    <t>дог.\гпх</t>
  </si>
  <si>
    <t>курсы повышения квалификации</t>
  </si>
  <si>
    <t>ежемесячное вознаграждение Лецензиара</t>
  </si>
  <si>
    <t>договор ГПХ</t>
  </si>
  <si>
    <t>расходы на медосмотр</t>
  </si>
  <si>
    <t>культуроно-массовое мероприятие</t>
  </si>
  <si>
    <t>интерактивное и игровое оборудование</t>
  </si>
  <si>
    <t>малые формы</t>
  </si>
  <si>
    <t>раскладушки</t>
  </si>
  <si>
    <t>продукты питания (школа)</t>
  </si>
  <si>
    <t>продукты питания (сотрудники)</t>
  </si>
  <si>
    <t>продукты питания (сад)</t>
  </si>
  <si>
    <t>светильники</t>
  </si>
  <si>
    <t>кухонный инвентарь</t>
  </si>
  <si>
    <t>1.3.  Расчеты (обоснования) выплат персоналу по уходу за ребенком, первые 3 дня больничного</t>
  </si>
  <si>
    <t>первые 3 дня больничного за счет работодателя</t>
  </si>
  <si>
    <t>6.8.1  Расчет (обоснование) расходов на приобретение продуктов питания</t>
  </si>
  <si>
    <t>Страхование</t>
  </si>
  <si>
    <t>6.8.  Расчет (обоснование) расходов на приобретение основных средств &lt;15&gt;</t>
  </si>
  <si>
    <t>6.9.  Расчет (обоснование) расходов на приобретение материальных запасов &lt;15&gt;</t>
  </si>
  <si>
    <t>6.10.  Расчет (обоснование) расходов на прочие расходы</t>
  </si>
  <si>
    <t>6.7.  Расчет (обоснование) расходов на страхование</t>
  </si>
  <si>
    <t>Пошлина за переоформление свидетельства о гос аккредитации</t>
  </si>
  <si>
    <t>к плану Финансово-хозяйственной деятельности от     24.07.2019 года</t>
  </si>
  <si>
    <t>План по состоянию на 24.07.2019 (руб)</t>
  </si>
  <si>
    <t>для оплаты налогов по УСН</t>
  </si>
  <si>
    <t xml:space="preserve">Заместитель начальника департамента
по управлению муниципальными ресурсами-
начальник управления персоналом
</t>
  </si>
  <si>
    <t>Бусова О.В.</t>
  </si>
  <si>
    <t>Отдел планирования и исполнения доходов МКУ «ЦБУиО»</t>
  </si>
  <si>
    <t>изменения в части доходов для оплаты налогов по УСН</t>
  </si>
  <si>
    <t>доп.соглашение №5 (микрорайоны)</t>
  </si>
  <si>
    <t>901010000</t>
  </si>
  <si>
    <t>Микрорайоны</t>
  </si>
  <si>
    <t>дополнительное соглашение №5 (микрорайоны)</t>
  </si>
  <si>
    <t>«24»  июля 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</si>
</sst>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_р_."/>
    <numFmt numFmtId="178" formatCode="0.0"/>
    <numFmt numFmtId="179" formatCode="?"/>
    <numFmt numFmtId="180" formatCode="[$-419]General"/>
    <numFmt numFmtId="181" formatCode="_(* #,##0.00_);_(* \(#,##0.00\);_(* &quot;-&quot;??_);_(@_)"/>
    <numFmt numFmtId="182" formatCode="_-* #,##0.00_р_._-;\-* #,##0.00_р_._-;_-* \-??_р_._-;_-@_-"/>
    <numFmt numFmtId="183" formatCode="_-* #,##0.00\ _D_M_-;\-* #,##0.00\ _D_M_-;_-* &quot;-&quot;??\ _D_M_-;_-@_-"/>
    <numFmt numFmtId="184" formatCode="#,##0.000"/>
    <numFmt numFmtId="185" formatCode="_-* #,##0.000_р_._-;\-* #,##0.000_р_._-;_-* &quot;-&quot;??_р_._-;_-@_-"/>
    <numFmt numFmtId="186" formatCode="_-* #,##0.0000_р_._-;\-* #,##0.0000_р_._-;_-* &quot;-&quot;??_р_._-;_-@_-"/>
    <numFmt numFmtId="187" formatCode="_-* #,##0.00000_р_._-;\-* #,##0.00000_р_._-;_-* &quot;-&quot;??_р_._-;_-@_-"/>
    <numFmt numFmtId="188" formatCode="_-* #,##0.000000_р_._-;\-* #,##0.000000_р_._-;_-* &quot;-&quot;??_р_._-;_-@_-"/>
    <numFmt numFmtId="189" formatCode="_-* #,##0.0000000_р_._-;\-* #,##0.000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[$-FC19]d\ mmmm\ yyyy\ &quot;г.&quot;"/>
    <numFmt numFmtId="193" formatCode="dd/mm/yy;@"/>
    <numFmt numFmtId="194" formatCode="[$-419]dd\ mmm\ yy;@"/>
    <numFmt numFmtId="195" formatCode="#,##0_ ;\-#,##0\ 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u val="single"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name val="Times New Roman"/>
      <family val="1"/>
    </font>
    <font>
      <b/>
      <sz val="10"/>
      <color indexed="8"/>
      <name val="Calibri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Calibri"/>
      <family val="2"/>
    </font>
    <font>
      <b/>
      <u val="single"/>
      <sz val="13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u val="single"/>
      <sz val="13.75"/>
      <color indexed="12"/>
      <name val="Calibri"/>
      <family val="2"/>
    </font>
    <font>
      <u val="single"/>
      <sz val="13.75"/>
      <color indexed="20"/>
      <name val="Calibri"/>
      <family val="2"/>
    </font>
    <font>
      <sz val="16"/>
      <color indexed="8"/>
      <name val="Calibri"/>
      <family val="2"/>
    </font>
    <font>
      <sz val="12"/>
      <color indexed="9"/>
      <name val="Times New Roman"/>
      <family val="1"/>
    </font>
    <font>
      <sz val="5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vertAlign val="superscript"/>
      <sz val="16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.7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.7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0"/>
      <name val="Times New Roman"/>
      <family val="1"/>
    </font>
    <font>
      <sz val="5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2"/>
      <color rgb="FF000000"/>
      <name val="Times New Roman"/>
      <family val="1"/>
    </font>
    <font>
      <vertAlign val="superscript"/>
      <sz val="16"/>
      <color theme="1"/>
      <name val="Times New Roman"/>
      <family val="1"/>
    </font>
  </fonts>
  <fills count="10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</borders>
  <cellStyleXfs count="13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2" fillId="19" borderId="0" applyNumberFormat="0" applyBorder="0" applyAlignment="0" applyProtection="0"/>
    <xf numFmtId="0" fontId="42" fillId="3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9" borderId="0" applyNumberFormat="0" applyBorder="0" applyAlignment="0" applyProtection="0"/>
    <xf numFmtId="0" fontId="4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19" borderId="0" applyNumberFormat="0" applyBorder="0" applyAlignment="0" applyProtection="0"/>
    <xf numFmtId="0" fontId="43" fillId="3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19" borderId="0" applyNumberFormat="0" applyBorder="0" applyAlignment="0" applyProtection="0"/>
    <xf numFmtId="0" fontId="43" fillId="1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23" fillId="48" borderId="0" applyNumberFormat="0" applyBorder="0" applyAlignment="0" applyProtection="0"/>
    <xf numFmtId="0" fontId="23" fillId="46" borderId="0" applyNumberFormat="0" applyBorder="0" applyAlignment="0" applyProtection="0"/>
    <xf numFmtId="0" fontId="23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23" fillId="40" borderId="0" applyNumberFormat="0" applyBorder="0" applyAlignment="0" applyProtection="0"/>
    <xf numFmtId="0" fontId="23" fillId="52" borderId="0" applyNumberFormat="0" applyBorder="0" applyAlignment="0" applyProtection="0"/>
    <xf numFmtId="0" fontId="23" fillId="53" borderId="0" applyNumberFormat="0" applyBorder="0" applyAlignment="0" applyProtection="0"/>
    <xf numFmtId="0" fontId="23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0" borderId="0" applyNumberFormat="0" applyBorder="0" applyAlignment="0" applyProtection="0"/>
    <xf numFmtId="0" fontId="1" fillId="48" borderId="0" applyNumberFormat="0" applyBorder="0" applyAlignment="0" applyProtection="0"/>
    <xf numFmtId="0" fontId="23" fillId="40" borderId="0" applyNumberFormat="0" applyBorder="0" applyAlignment="0" applyProtection="0"/>
    <xf numFmtId="0" fontId="23" fillId="47" borderId="0" applyNumberFormat="0" applyBorder="0" applyAlignment="0" applyProtection="0"/>
    <xf numFmtId="0" fontId="23" fillId="55" borderId="0" applyNumberFormat="0" applyBorder="0" applyAlignment="0" applyProtection="0"/>
    <xf numFmtId="0" fontId="23" fillId="56" borderId="0" applyNumberFormat="0" applyBorder="0" applyAlignment="0" applyProtection="0"/>
    <xf numFmtId="0" fontId="1" fillId="37" borderId="0" applyNumberFormat="0" applyBorder="0" applyAlignment="0" applyProtection="0"/>
    <xf numFmtId="0" fontId="1" fillId="49" borderId="0" applyNumberFormat="0" applyBorder="0" applyAlignment="0" applyProtection="0"/>
    <xf numFmtId="0" fontId="1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46" borderId="0" applyNumberFormat="0" applyBorder="0" applyAlignment="0" applyProtection="0"/>
    <xf numFmtId="0" fontId="1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60" borderId="0" applyNumberFormat="0" applyBorder="0" applyAlignment="0" applyProtection="0"/>
    <xf numFmtId="0" fontId="23" fillId="61" borderId="0" applyNumberFormat="0" applyBorder="0" applyAlignment="0" applyProtection="0"/>
    <xf numFmtId="0" fontId="44" fillId="46" borderId="0" applyNumberFormat="0" applyBorder="0" applyAlignment="0" applyProtection="0"/>
    <xf numFmtId="0" fontId="45" fillId="62" borderId="1" applyNumberFormat="0" applyAlignment="0" applyProtection="0"/>
    <xf numFmtId="0" fontId="31" fillId="48" borderId="2" applyNumberFormat="0" applyAlignment="0" applyProtection="0"/>
    <xf numFmtId="0" fontId="30" fillId="63" borderId="0" applyNumberFormat="0" applyBorder="0" applyAlignment="0" applyProtection="0"/>
    <xf numFmtId="0" fontId="30" fillId="64" borderId="0" applyNumberFormat="0" applyBorder="0" applyAlignment="0" applyProtection="0"/>
    <xf numFmtId="0" fontId="30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180" fontId="1" fillId="0" borderId="0" applyBorder="0" applyProtection="0">
      <alignment/>
    </xf>
    <xf numFmtId="0" fontId="1" fillId="0" borderId="0">
      <alignment/>
      <protection/>
    </xf>
    <xf numFmtId="0" fontId="46" fillId="0" borderId="0" applyNumberFormat="0" applyFill="0" applyBorder="0" applyAlignment="0" applyProtection="0"/>
    <xf numFmtId="0" fontId="38" fillId="6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59" borderId="1" applyNumberFormat="0" applyAlignment="0" applyProtection="0"/>
    <xf numFmtId="0" fontId="51" fillId="0" borderId="6" applyNumberFormat="0" applyFill="0" applyAlignment="0" applyProtection="0"/>
    <xf numFmtId="0" fontId="33" fillId="59" borderId="0" applyNumberFormat="0" applyBorder="0" applyAlignment="0" applyProtection="0"/>
    <xf numFmtId="0" fontId="22" fillId="0" borderId="0">
      <alignment/>
      <protection/>
    </xf>
    <xf numFmtId="0" fontId="22" fillId="58" borderId="7" applyNumberFormat="0" applyFont="0" applyAlignment="0" applyProtection="0"/>
    <xf numFmtId="0" fontId="25" fillId="62" borderId="8" applyNumberFormat="0" applyAlignment="0" applyProtection="0"/>
    <xf numFmtId="4" fontId="52" fillId="69" borderId="9" applyNumberFormat="0" applyProtection="0">
      <alignment vertical="center"/>
    </xf>
    <xf numFmtId="4" fontId="53" fillId="69" borderId="10" applyNumberFormat="0" applyProtection="0">
      <alignment vertical="center"/>
    </xf>
    <xf numFmtId="4" fontId="54" fillId="69" borderId="9" applyNumberFormat="0" applyProtection="0">
      <alignment vertical="center"/>
    </xf>
    <xf numFmtId="4" fontId="55" fillId="69" borderId="10" applyNumberFormat="0" applyProtection="0">
      <alignment vertical="center"/>
    </xf>
    <xf numFmtId="4" fontId="52" fillId="69" borderId="9" applyNumberFormat="0" applyProtection="0">
      <alignment horizontal="left" vertical="center" indent="1"/>
    </xf>
    <xf numFmtId="4" fontId="53" fillId="69" borderId="10" applyNumberFormat="0" applyProtection="0">
      <alignment horizontal="left" vertical="center" indent="1"/>
    </xf>
    <xf numFmtId="0" fontId="52" fillId="69" borderId="9" applyNumberFormat="0" applyProtection="0">
      <alignment horizontal="left" vertical="top" indent="1"/>
    </xf>
    <xf numFmtId="0" fontId="56" fillId="69" borderId="9" applyNumberFormat="0" applyProtection="0">
      <alignment horizontal="left" vertical="top" indent="1"/>
    </xf>
    <xf numFmtId="4" fontId="52" fillId="2" borderId="0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4" fontId="42" fillId="7" borderId="9" applyNumberFormat="0" applyProtection="0">
      <alignment horizontal="right" vertical="center"/>
    </xf>
    <xf numFmtId="4" fontId="53" fillId="7" borderId="10" applyNumberFormat="0" applyProtection="0">
      <alignment horizontal="right" vertical="center"/>
    </xf>
    <xf numFmtId="4" fontId="42" fillId="3" borderId="9" applyNumberFormat="0" applyProtection="0">
      <alignment horizontal="right" vertical="center"/>
    </xf>
    <xf numFmtId="4" fontId="53" fillId="70" borderId="10" applyNumberFormat="0" applyProtection="0">
      <alignment horizontal="right" vertical="center"/>
    </xf>
    <xf numFmtId="4" fontId="42" fillId="71" borderId="9" applyNumberFormat="0" applyProtection="0">
      <alignment horizontal="right" vertical="center"/>
    </xf>
    <xf numFmtId="4" fontId="53" fillId="71" borderId="11" applyNumberFormat="0" applyProtection="0">
      <alignment horizontal="right" vertical="center"/>
    </xf>
    <xf numFmtId="4" fontId="42" fillId="26" borderId="9" applyNumberFormat="0" applyProtection="0">
      <alignment horizontal="right" vertical="center"/>
    </xf>
    <xf numFmtId="4" fontId="53" fillId="26" borderId="10" applyNumberFormat="0" applyProtection="0">
      <alignment horizontal="right" vertical="center"/>
    </xf>
    <xf numFmtId="4" fontId="42" fillId="34" borderId="9" applyNumberFormat="0" applyProtection="0">
      <alignment horizontal="right" vertical="center"/>
    </xf>
    <xf numFmtId="4" fontId="53" fillId="34" borderId="10" applyNumberFormat="0" applyProtection="0">
      <alignment horizontal="right" vertical="center"/>
    </xf>
    <xf numFmtId="4" fontId="42" fillId="72" borderId="9" applyNumberFormat="0" applyProtection="0">
      <alignment horizontal="right" vertical="center"/>
    </xf>
    <xf numFmtId="4" fontId="53" fillId="72" borderId="10" applyNumberFormat="0" applyProtection="0">
      <alignment horizontal="right" vertical="center"/>
    </xf>
    <xf numFmtId="4" fontId="42" fillId="20" borderId="9" applyNumberFormat="0" applyProtection="0">
      <alignment horizontal="right" vertical="center"/>
    </xf>
    <xf numFmtId="4" fontId="53" fillId="20" borderId="10" applyNumberFormat="0" applyProtection="0">
      <alignment horizontal="right" vertical="center"/>
    </xf>
    <xf numFmtId="4" fontId="42" fillId="73" borderId="9" applyNumberFormat="0" applyProtection="0">
      <alignment horizontal="right" vertical="center"/>
    </xf>
    <xf numFmtId="4" fontId="53" fillId="73" borderId="10" applyNumberFormat="0" applyProtection="0">
      <alignment horizontal="right" vertical="center"/>
    </xf>
    <xf numFmtId="4" fontId="42" fillId="24" borderId="9" applyNumberFormat="0" applyProtection="0">
      <alignment horizontal="right" vertical="center"/>
    </xf>
    <xf numFmtId="4" fontId="53" fillId="24" borderId="10" applyNumberFormat="0" applyProtection="0">
      <alignment horizontal="right" vertical="center"/>
    </xf>
    <xf numFmtId="4" fontId="52" fillId="74" borderId="12" applyNumberFormat="0" applyProtection="0">
      <alignment horizontal="left" vertical="center" indent="1"/>
    </xf>
    <xf numFmtId="4" fontId="53" fillId="74" borderId="11" applyNumberFormat="0" applyProtection="0">
      <alignment horizontal="left" vertical="center" indent="1"/>
    </xf>
    <xf numFmtId="4" fontId="42" fillId="75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57" fillId="19" borderId="0" applyNumberFormat="0" applyProtection="0">
      <alignment horizontal="left" vertical="center" indent="1"/>
    </xf>
    <xf numFmtId="4" fontId="22" fillId="19" borderId="11" applyNumberFormat="0" applyProtection="0">
      <alignment horizontal="left" vertical="center" indent="1"/>
    </xf>
    <xf numFmtId="4" fontId="42" fillId="2" borderId="9" applyNumberFormat="0" applyProtection="0">
      <alignment horizontal="right" vertical="center"/>
    </xf>
    <xf numFmtId="4" fontId="53" fillId="2" borderId="10" applyNumberFormat="0" applyProtection="0">
      <alignment horizontal="right" vertical="center"/>
    </xf>
    <xf numFmtId="4" fontId="42" fillId="75" borderId="0" applyNumberFormat="0" applyProtection="0">
      <alignment horizontal="left" vertical="center" indent="1"/>
    </xf>
    <xf numFmtId="4" fontId="53" fillId="75" borderId="11" applyNumberFormat="0" applyProtection="0">
      <alignment horizontal="left" vertical="center" indent="1"/>
    </xf>
    <xf numFmtId="4" fontId="42" fillId="2" borderId="0" applyNumberFormat="0" applyProtection="0">
      <alignment horizontal="left" vertical="center" indent="1"/>
    </xf>
    <xf numFmtId="4" fontId="53" fillId="2" borderId="11" applyNumberFormat="0" applyProtection="0">
      <alignment horizontal="left" vertical="center" indent="1"/>
    </xf>
    <xf numFmtId="0" fontId="22" fillId="19" borderId="9" applyNumberFormat="0" applyProtection="0">
      <alignment horizontal="left" vertical="center" indent="1"/>
    </xf>
    <xf numFmtId="0" fontId="53" fillId="21" borderId="10" applyNumberFormat="0" applyProtection="0">
      <alignment horizontal="left" vertical="center" indent="1"/>
    </xf>
    <xf numFmtId="0" fontId="22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53" fillId="19" borderId="9" applyNumberFormat="0" applyProtection="0">
      <alignment horizontal="left" vertical="top" indent="1"/>
    </xf>
    <xf numFmtId="0" fontId="22" fillId="2" borderId="9" applyNumberFormat="0" applyProtection="0">
      <alignment horizontal="left" vertical="center" indent="1"/>
    </xf>
    <xf numFmtId="0" fontId="53" fillId="76" borderId="10" applyNumberFormat="0" applyProtection="0">
      <alignment horizontal="left" vertical="center" indent="1"/>
    </xf>
    <xf numFmtId="0" fontId="22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53" fillId="2" borderId="9" applyNumberFormat="0" applyProtection="0">
      <alignment horizontal="left" vertical="top" indent="1"/>
    </xf>
    <xf numFmtId="0" fontId="22" fillId="6" borderId="9" applyNumberFormat="0" applyProtection="0">
      <alignment horizontal="left" vertical="center" indent="1"/>
    </xf>
    <xf numFmtId="0" fontId="53" fillId="6" borderId="10" applyNumberFormat="0" applyProtection="0">
      <alignment horizontal="left" vertical="center" indent="1"/>
    </xf>
    <xf numFmtId="0" fontId="22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53" fillId="6" borderId="9" applyNumberFormat="0" applyProtection="0">
      <alignment horizontal="left" vertical="top" indent="1"/>
    </xf>
    <xf numFmtId="0" fontId="22" fillId="75" borderId="9" applyNumberFormat="0" applyProtection="0">
      <alignment horizontal="left" vertical="center" indent="1"/>
    </xf>
    <xf numFmtId="0" fontId="53" fillId="75" borderId="10" applyNumberFormat="0" applyProtection="0">
      <alignment horizontal="left" vertical="center" indent="1"/>
    </xf>
    <xf numFmtId="0" fontId="22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53" fillId="75" borderId="9" applyNumberFormat="0" applyProtection="0">
      <alignment horizontal="left" vertical="top" indent="1"/>
    </xf>
    <xf numFmtId="0" fontId="22" fillId="5" borderId="13" applyNumberFormat="0">
      <alignment/>
      <protection locked="0"/>
    </xf>
    <xf numFmtId="0" fontId="53" fillId="5" borderId="14" applyNumberFormat="0">
      <alignment/>
      <protection locked="0"/>
    </xf>
    <xf numFmtId="0" fontId="53" fillId="5" borderId="14" applyNumberFormat="0">
      <alignment/>
      <protection locked="0"/>
    </xf>
    <xf numFmtId="0" fontId="58" fillId="19" borderId="15" applyBorder="0">
      <alignment/>
      <protection/>
    </xf>
    <xf numFmtId="4" fontId="42" fillId="4" borderId="9" applyNumberFormat="0" applyProtection="0">
      <alignment vertical="center"/>
    </xf>
    <xf numFmtId="4" fontId="59" fillId="4" borderId="9" applyNumberFormat="0" applyProtection="0">
      <alignment vertical="center"/>
    </xf>
    <xf numFmtId="4" fontId="60" fillId="4" borderId="9" applyNumberFormat="0" applyProtection="0">
      <alignment vertical="center"/>
    </xf>
    <xf numFmtId="4" fontId="55" fillId="4" borderId="13" applyNumberFormat="0" applyProtection="0">
      <alignment vertical="center"/>
    </xf>
    <xf numFmtId="4" fontId="42" fillId="4" borderId="9" applyNumberFormat="0" applyProtection="0">
      <alignment horizontal="left" vertical="center" indent="1"/>
    </xf>
    <xf numFmtId="4" fontId="59" fillId="21" borderId="9" applyNumberFormat="0" applyProtection="0">
      <alignment horizontal="left" vertical="center" indent="1"/>
    </xf>
    <xf numFmtId="0" fontId="42" fillId="4" borderId="9" applyNumberFormat="0" applyProtection="0">
      <alignment horizontal="left" vertical="top" indent="1"/>
    </xf>
    <xf numFmtId="0" fontId="59" fillId="4" borderId="9" applyNumberFormat="0" applyProtection="0">
      <alignment horizontal="left" vertical="top" indent="1"/>
    </xf>
    <xf numFmtId="4" fontId="42" fillId="75" borderId="9" applyNumberFormat="0" applyProtection="0">
      <alignment horizontal="right" vertical="center"/>
    </xf>
    <xf numFmtId="0" fontId="42" fillId="16" borderId="9" applyNumberFormat="0" applyProtection="0">
      <alignment horizontal="right" vertical="center"/>
    </xf>
    <xf numFmtId="4" fontId="53" fillId="0" borderId="10" applyNumberFormat="0" applyProtection="0">
      <alignment horizontal="right" vertical="center"/>
    </xf>
    <xf numFmtId="4" fontId="60" fillId="75" borderId="9" applyNumberFormat="0" applyProtection="0">
      <alignment horizontal="right" vertical="center"/>
    </xf>
    <xf numFmtId="4" fontId="55" fillId="5" borderId="10" applyNumberFormat="0" applyProtection="0">
      <alignment horizontal="right" vertical="center"/>
    </xf>
    <xf numFmtId="4" fontId="53" fillId="32" borderId="10" applyNumberFormat="0" applyProtection="0">
      <alignment horizontal="left" vertical="center" indent="1"/>
    </xf>
    <xf numFmtId="4" fontId="42" fillId="2" borderId="9" applyNumberFormat="0" applyProtection="0">
      <alignment horizontal="left" vertical="center" indent="1"/>
    </xf>
    <xf numFmtId="4" fontId="53" fillId="32" borderId="10" applyNumberFormat="0" applyProtection="0">
      <alignment horizontal="left" vertical="center" indent="1"/>
    </xf>
    <xf numFmtId="0" fontId="22" fillId="0" borderId="0">
      <alignment/>
      <protection/>
    </xf>
    <xf numFmtId="0" fontId="42" fillId="2" borderId="9" applyNumberFormat="0" applyProtection="0">
      <alignment horizontal="left" vertical="top" indent="1"/>
    </xf>
    <xf numFmtId="0" fontId="59" fillId="2" borderId="9" applyNumberFormat="0" applyProtection="0">
      <alignment horizontal="left" vertical="top" indent="1"/>
    </xf>
    <xf numFmtId="4" fontId="61" fillId="77" borderId="0" applyNumberFormat="0" applyProtection="0">
      <alignment horizontal="left" vertical="center" indent="1"/>
    </xf>
    <xf numFmtId="4" fontId="62" fillId="77" borderId="11" applyNumberFormat="0" applyProtection="0">
      <alignment horizontal="left" vertical="center" indent="1"/>
    </xf>
    <xf numFmtId="0" fontId="53" fillId="78" borderId="13">
      <alignment/>
      <protection/>
    </xf>
    <xf numFmtId="4" fontId="63" fillId="75" borderId="9" applyNumberFormat="0" applyProtection="0">
      <alignment horizontal="right" vertical="center"/>
    </xf>
    <xf numFmtId="4" fontId="64" fillId="5" borderId="10" applyNumberFormat="0" applyProtection="0">
      <alignment horizontal="right"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7" fillId="0" borderId="0" applyNumberFormat="0" applyFill="0" applyBorder="0" applyAlignment="0" applyProtection="0"/>
    <xf numFmtId="0" fontId="93" fillId="79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1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93" fillId="82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8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93" fillId="84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85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93" fillId="86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93" fillId="87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93" fillId="88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89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94" fillId="90" borderId="17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24" fillId="18" borderId="1" applyNumberFormat="0" applyAlignment="0" applyProtection="0"/>
    <xf numFmtId="0" fontId="24" fillId="17" borderId="1" applyNumberFormat="0" applyAlignment="0" applyProtection="0"/>
    <xf numFmtId="0" fontId="24" fillId="17" borderId="1" applyNumberFormat="0" applyAlignment="0" applyProtection="0"/>
    <xf numFmtId="0" fontId="95" fillId="91" borderId="1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25" fillId="92" borderId="8" applyNumberFormat="0" applyAlignment="0" applyProtection="0"/>
    <xf numFmtId="0" fontId="25" fillId="21" borderId="8" applyNumberFormat="0" applyAlignment="0" applyProtection="0"/>
    <xf numFmtId="0" fontId="25" fillId="21" borderId="8" applyNumberFormat="0" applyAlignment="0" applyProtection="0"/>
    <xf numFmtId="0" fontId="96" fillId="91" borderId="17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26" fillId="92" borderId="1" applyNumberFormat="0" applyAlignment="0" applyProtection="0"/>
    <xf numFmtId="0" fontId="26" fillId="21" borderId="1" applyNumberFormat="0" applyAlignment="0" applyProtection="0"/>
    <xf numFmtId="0" fontId="26" fillId="21" borderId="1" applyNumberFormat="0" applyAlignment="0" applyProtection="0"/>
    <xf numFmtId="0" fontId="9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99" fillId="0" borderId="21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28" fillId="0" borderId="4" applyNumberFormat="0" applyFill="0" applyAlignment="0" applyProtection="0"/>
    <xf numFmtId="0" fontId="100" fillId="0" borderId="22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29" fillId="0" borderId="23" applyNumberFormat="0" applyFill="0" applyAlignment="0" applyProtection="0"/>
    <xf numFmtId="0" fontId="10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30" fillId="0" borderId="25" applyNumberFormat="0" applyFill="0" applyAlignment="0" applyProtection="0"/>
    <xf numFmtId="0" fontId="102" fillId="93" borderId="26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31" fillId="95" borderId="2" applyNumberFormat="0" applyAlignment="0" applyProtection="0"/>
    <xf numFmtId="0" fontId="31" fillId="94" borderId="2" applyNumberFormat="0" applyAlignment="0" applyProtection="0"/>
    <xf numFmtId="0" fontId="31" fillId="94" borderId="2" applyNumberFormat="0" applyAlignment="0" applyProtection="0"/>
    <xf numFmtId="0" fontId="10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4" fillId="96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33" fillId="97" borderId="0" applyNumberFormat="0" applyBorder="0" applyAlignment="0" applyProtection="0"/>
    <xf numFmtId="0" fontId="33" fillId="69" borderId="0" applyNumberFormat="0" applyBorder="0" applyAlignment="0" applyProtection="0"/>
    <xf numFmtId="0" fontId="33" fillId="6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53" fillId="98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05" fillId="0" borderId="0" applyNumberFormat="0" applyFill="0" applyBorder="0" applyAlignment="0" applyProtection="0"/>
    <xf numFmtId="0" fontId="106" fillId="99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10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0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100" borderId="27" applyNumberFormat="0" applyFont="0" applyAlignment="0" applyProtection="0"/>
    <xf numFmtId="0" fontId="1" fillId="4" borderId="7" applyNumberFormat="0" applyFont="0" applyAlignment="0" applyProtection="0"/>
    <xf numFmtId="0" fontId="8" fillId="101" borderId="7" applyNumberFormat="0" applyAlignment="0" applyProtection="0"/>
    <xf numFmtId="0" fontId="8" fillId="4" borderId="7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8" fillId="0" borderId="28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36" fillId="0" borderId="29" applyNumberFormat="0" applyFill="0" applyAlignment="0" applyProtection="0"/>
    <xf numFmtId="0" fontId="66" fillId="0" borderId="0">
      <alignment/>
      <protection/>
    </xf>
    <xf numFmtId="0" fontId="10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81" fontId="22" fillId="0" borderId="0" applyFont="0" applyFill="0" applyBorder="0" applyAlignment="0" applyProtection="0"/>
    <xf numFmtId="171" fontId="1" fillId="0" borderId="0" applyFont="0" applyFill="0" applyBorder="0" applyAlignment="0" applyProtection="0"/>
    <xf numFmtId="182" fontId="8" fillId="0" borderId="0" applyFill="0" applyBorder="0" applyAlignment="0" applyProtection="0"/>
    <xf numFmtId="171" fontId="8" fillId="0" borderId="0" applyFont="0" applyFill="0" applyBorder="0" applyAlignment="0" applyProtection="0"/>
    <xf numFmtId="183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10" fillId="102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</cellStyleXfs>
  <cellXfs count="778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4" fontId="6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3" fontId="7" fillId="0" borderId="30" xfId="0" applyNumberFormat="1" applyFont="1" applyBorder="1" applyAlignment="1">
      <alignment horizontal="center" vertical="center" wrapText="1"/>
    </xf>
    <xf numFmtId="0" fontId="111" fillId="0" borderId="13" xfId="0" applyFont="1" applyBorder="1" applyAlignment="1">
      <alignment vertical="top" wrapText="1"/>
    </xf>
    <xf numFmtId="0" fontId="11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11" fillId="0" borderId="0" xfId="0" applyFont="1" applyAlignment="1">
      <alignment/>
    </xf>
    <xf numFmtId="0" fontId="111" fillId="0" borderId="0" xfId="0" applyFont="1" applyAlignment="1">
      <alignment horizontal="right"/>
    </xf>
    <xf numFmtId="0" fontId="111" fillId="0" borderId="0" xfId="0" applyFont="1" applyAlignment="1">
      <alignment horizontal="center"/>
    </xf>
    <xf numFmtId="0" fontId="111" fillId="0" borderId="30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11" fillId="0" borderId="32" xfId="0" applyFont="1" applyBorder="1" applyAlignment="1">
      <alignment vertical="top" wrapText="1"/>
    </xf>
    <xf numFmtId="0" fontId="112" fillId="0" borderId="0" xfId="0" applyFont="1" applyAlignment="1">
      <alignment/>
    </xf>
    <xf numFmtId="0" fontId="113" fillId="0" borderId="0" xfId="0" applyFont="1" applyAlignment="1">
      <alignment horizontal="center"/>
    </xf>
    <xf numFmtId="0" fontId="12" fillId="0" borderId="0" xfId="0" applyFont="1" applyAlignment="1">
      <alignment vertical="center"/>
    </xf>
    <xf numFmtId="0" fontId="7" fillId="0" borderId="3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4" fontId="6" fillId="103" borderId="0" xfId="0" applyNumberFormat="1" applyFont="1" applyFill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0" fontId="111" fillId="0" borderId="33" xfId="0" applyFont="1" applyBorder="1" applyAlignment="1">
      <alignment/>
    </xf>
    <xf numFmtId="0" fontId="0" fillId="0" borderId="33" xfId="0" applyBorder="1" applyAlignment="1">
      <alignment/>
    </xf>
    <xf numFmtId="2" fontId="111" fillId="0" borderId="13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111" fillId="0" borderId="0" xfId="0" applyFont="1" applyFill="1" applyAlignment="1">
      <alignment horizontal="center"/>
    </xf>
    <xf numFmtId="0" fontId="111" fillId="0" borderId="13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 applyProtection="1">
      <alignment vertical="center" wrapText="1"/>
      <protection/>
    </xf>
    <xf numFmtId="0" fontId="101" fillId="0" borderId="13" xfId="0" applyFont="1" applyBorder="1" applyAlignment="1">
      <alignment horizontal="center" vertical="center" wrapText="1"/>
    </xf>
    <xf numFmtId="0" fontId="101" fillId="0" borderId="0" xfId="0" applyFont="1" applyAlignment="1">
      <alignment/>
    </xf>
    <xf numFmtId="0" fontId="101" fillId="0" borderId="13" xfId="0" applyFont="1" applyBorder="1" applyAlignment="1">
      <alignment horizontal="center"/>
    </xf>
    <xf numFmtId="0" fontId="101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0" xfId="0" applyAlignment="1">
      <alignment horizontal="left"/>
    </xf>
    <xf numFmtId="0" fontId="114" fillId="0" borderId="0" xfId="0" applyFont="1" applyAlignment="1">
      <alignment/>
    </xf>
    <xf numFmtId="4" fontId="12" fillId="0" borderId="0" xfId="0" applyNumberFormat="1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15" fillId="0" borderId="0" xfId="0" applyFont="1" applyFill="1" applyBorder="1" applyAlignment="1">
      <alignment vertical="center" wrapText="1"/>
    </xf>
    <xf numFmtId="0" fontId="115" fillId="0" borderId="0" xfId="0" applyFont="1" applyFill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116" fillId="0" borderId="0" xfId="0" applyFont="1" applyAlignment="1">
      <alignment/>
    </xf>
    <xf numFmtId="0" fontId="4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171" fontId="2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Border="1" applyAlignment="1">
      <alignment horizontal="center" vertical="center" wrapText="1"/>
    </xf>
    <xf numFmtId="171" fontId="9" fillId="0" borderId="3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1" fontId="41" fillId="0" borderId="34" xfId="0" applyNumberFormat="1" applyFont="1" applyFill="1" applyBorder="1" applyAlignment="1">
      <alignment horizontal="center" vertical="center" wrapText="1"/>
    </xf>
    <xf numFmtId="171" fontId="9" fillId="0" borderId="13" xfId="0" applyNumberFormat="1" applyFont="1" applyFill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111" fillId="0" borderId="13" xfId="0" applyNumberFormat="1" applyFont="1" applyBorder="1" applyAlignment="1">
      <alignment horizontal="center" vertical="top" wrapText="1"/>
    </xf>
    <xf numFmtId="0" fontId="3" fillId="104" borderId="0" xfId="0" applyFont="1" applyFill="1" applyAlignment="1">
      <alignment horizontal="center" vertical="top" wrapText="1"/>
    </xf>
    <xf numFmtId="0" fontId="0" fillId="104" borderId="0" xfId="0" applyFill="1" applyAlignment="1">
      <alignment/>
    </xf>
    <xf numFmtId="49" fontId="21" fillId="0" borderId="13" xfId="0" applyNumberFormat="1" applyFont="1" applyFill="1" applyBorder="1" applyAlignment="1" applyProtection="1">
      <alignment horizontal="center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left" vertical="center" wrapText="1"/>
      <protection/>
    </xf>
    <xf numFmtId="179" fontId="21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33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 vertical="top" wrapText="1"/>
    </xf>
    <xf numFmtId="49" fontId="117" fillId="0" borderId="34" xfId="0" applyNumberFormat="1" applyFont="1" applyFill="1" applyBorder="1" applyAlignment="1">
      <alignment horizontal="center" vertical="center" wrapText="1"/>
    </xf>
    <xf numFmtId="3" fontId="18" fillId="105" borderId="35" xfId="0" applyNumberFormat="1" applyFont="1" applyFill="1" applyBorder="1" applyAlignment="1">
      <alignment horizontal="left" vertical="center" wrapText="1"/>
    </xf>
    <xf numFmtId="0" fontId="117" fillId="105" borderId="13" xfId="0" applyFont="1" applyFill="1" applyBorder="1" applyAlignment="1">
      <alignment horizontal="center" vertical="top" wrapText="1"/>
    </xf>
    <xf numFmtId="0" fontId="117" fillId="105" borderId="34" xfId="0" applyFont="1" applyFill="1" applyBorder="1" applyAlignment="1">
      <alignment horizontal="center" vertical="top" wrapText="1"/>
    </xf>
    <xf numFmtId="4" fontId="4" fillId="105" borderId="34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17" fillId="0" borderId="36" xfId="0" applyFont="1" applyBorder="1" applyAlignment="1">
      <alignment vertical="center" wrapText="1"/>
    </xf>
    <xf numFmtId="0" fontId="117" fillId="0" borderId="13" xfId="0" applyFont="1" applyBorder="1" applyAlignment="1">
      <alignment horizontal="center" vertical="top" wrapText="1"/>
    </xf>
    <xf numFmtId="0" fontId="117" fillId="0" borderId="34" xfId="0" applyFont="1" applyBorder="1" applyAlignment="1">
      <alignment horizontal="center" vertical="top" wrapText="1"/>
    </xf>
    <xf numFmtId="3" fontId="4" fillId="0" borderId="3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117" fillId="0" borderId="36" xfId="0" applyFont="1" applyFill="1" applyBorder="1" applyAlignment="1">
      <alignment vertical="center" wrapText="1"/>
    </xf>
    <xf numFmtId="0" fontId="117" fillId="0" borderId="13" xfId="0" applyFont="1" applyFill="1" applyBorder="1" applyAlignment="1">
      <alignment horizontal="center" vertical="top" wrapText="1"/>
    </xf>
    <xf numFmtId="49" fontId="117" fillId="0" borderId="13" xfId="0" applyNumberFormat="1" applyFont="1" applyFill="1" applyBorder="1" applyAlignment="1">
      <alignment horizontal="center" vertical="top" wrapText="1"/>
    </xf>
    <xf numFmtId="49" fontId="117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Alignment="1">
      <alignment horizontal="center" vertical="center" wrapText="1"/>
    </xf>
    <xf numFmtId="0" fontId="117" fillId="0" borderId="34" xfId="0" applyFont="1" applyFill="1" applyBorder="1" applyAlignment="1">
      <alignment horizontal="center" vertical="top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117" fillId="0" borderId="36" xfId="0" applyFont="1" applyFill="1" applyBorder="1" applyAlignment="1">
      <alignment horizontal="left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0" fontId="117" fillId="0" borderId="36" xfId="0" applyFont="1" applyBorder="1" applyAlignment="1">
      <alignment horizontal="left" vertical="top" wrapText="1"/>
    </xf>
    <xf numFmtId="0" fontId="117" fillId="0" borderId="36" xfId="0" applyFont="1" applyFill="1" applyBorder="1" applyAlignment="1">
      <alignment horizontal="left" wrapText="1"/>
    </xf>
    <xf numFmtId="3" fontId="6" fillId="103" borderId="0" xfId="0" applyNumberFormat="1" applyFont="1" applyFill="1" applyAlignment="1">
      <alignment horizontal="center" vertical="center" wrapText="1"/>
    </xf>
    <xf numFmtId="0" fontId="67" fillId="0" borderId="36" xfId="0" applyFont="1" applyFill="1" applyBorder="1" applyAlignment="1">
      <alignment vertical="center" wrapText="1"/>
    </xf>
    <xf numFmtId="0" fontId="67" fillId="0" borderId="13" xfId="0" applyFont="1" applyFill="1" applyBorder="1" applyAlignment="1">
      <alignment horizontal="center" vertical="top" wrapText="1"/>
    </xf>
    <xf numFmtId="49" fontId="67" fillId="0" borderId="34" xfId="0" applyNumberFormat="1" applyFont="1" applyFill="1" applyBorder="1" applyAlignment="1">
      <alignment horizontal="center" vertical="top" wrapText="1"/>
    </xf>
    <xf numFmtId="4" fontId="67" fillId="0" borderId="34" xfId="0" applyNumberFormat="1" applyFont="1" applyFill="1" applyBorder="1" applyAlignment="1">
      <alignment horizontal="center" vertical="center" wrapText="1"/>
    </xf>
    <xf numFmtId="4" fontId="67" fillId="0" borderId="13" xfId="0" applyNumberFormat="1" applyFont="1" applyFill="1" applyBorder="1" applyAlignment="1">
      <alignment horizontal="center" vertical="top" wrapText="1"/>
    </xf>
    <xf numFmtId="3" fontId="68" fillId="0" borderId="0" xfId="0" applyNumberFormat="1" applyFont="1" applyFill="1" applyAlignment="1">
      <alignment horizontal="center" vertical="center" wrapText="1"/>
    </xf>
    <xf numFmtId="0" fontId="117" fillId="0" borderId="35" xfId="0" applyFont="1" applyFill="1" applyBorder="1" applyAlignment="1">
      <alignment vertical="center" wrapText="1"/>
    </xf>
    <xf numFmtId="0" fontId="117" fillId="0" borderId="13" xfId="0" applyFont="1" applyFill="1" applyBorder="1" applyAlignment="1">
      <alignment vertical="center" wrapText="1"/>
    </xf>
    <xf numFmtId="4" fontId="18" fillId="26" borderId="32" xfId="0" applyNumberFormat="1" applyFont="1" applyFill="1" applyBorder="1" applyAlignment="1">
      <alignment horizontal="left" vertical="center" wrapText="1"/>
    </xf>
    <xf numFmtId="3" fontId="4" fillId="105" borderId="37" xfId="0" applyNumberFormat="1" applyFont="1" applyFill="1" applyBorder="1" applyAlignment="1">
      <alignment horizontal="center" vertical="center" wrapText="1"/>
    </xf>
    <xf numFmtId="3" fontId="4" fillId="105" borderId="32" xfId="0" applyNumberFormat="1" applyFont="1" applyFill="1" applyBorder="1" applyAlignment="1">
      <alignment horizontal="center" vertical="center" wrapText="1"/>
    </xf>
    <xf numFmtId="4" fontId="18" fillId="26" borderId="13" xfId="0" applyNumberFormat="1" applyFont="1" applyFill="1" applyBorder="1" applyAlignment="1">
      <alignment horizontal="center" vertical="center" wrapText="1"/>
    </xf>
    <xf numFmtId="0" fontId="118" fillId="0" borderId="13" xfId="0" applyFont="1" applyBorder="1" applyAlignment="1">
      <alignment vertical="center" wrapText="1"/>
    </xf>
    <xf numFmtId="0" fontId="118" fillId="0" borderId="13" xfId="0" applyFont="1" applyFill="1" applyBorder="1" applyAlignment="1">
      <alignment vertical="center" wrapText="1"/>
    </xf>
    <xf numFmtId="0" fontId="118" fillId="0" borderId="30" xfId="0" applyFont="1" applyFill="1" applyBorder="1" applyAlignment="1">
      <alignment horizontal="left" vertical="center" wrapText="1"/>
    </xf>
    <xf numFmtId="0" fontId="117" fillId="0" borderId="31" xfId="0" applyFont="1" applyFill="1" applyBorder="1" applyAlignment="1">
      <alignment horizontal="center" vertical="top" wrapText="1"/>
    </xf>
    <xf numFmtId="0" fontId="117" fillId="0" borderId="30" xfId="0" applyFont="1" applyFill="1" applyBorder="1" applyAlignment="1">
      <alignment horizontal="center" vertical="top" wrapText="1"/>
    </xf>
    <xf numFmtId="49" fontId="117" fillId="0" borderId="34" xfId="0" applyNumberFormat="1" applyFont="1" applyFill="1" applyBorder="1" applyAlignment="1">
      <alignment vertical="top" wrapText="1"/>
    </xf>
    <xf numFmtId="0" fontId="117" fillId="0" borderId="32" xfId="0" applyFont="1" applyFill="1" applyBorder="1" applyAlignment="1">
      <alignment horizontal="center" vertical="top" wrapText="1"/>
    </xf>
    <xf numFmtId="0" fontId="117" fillId="0" borderId="13" xfId="0" applyFont="1" applyFill="1" applyBorder="1" applyAlignment="1">
      <alignment vertical="top" wrapText="1"/>
    </xf>
    <xf numFmtId="0" fontId="117" fillId="0" borderId="34" xfId="0" applyFont="1" applyFill="1" applyBorder="1" applyAlignment="1">
      <alignment vertical="top" wrapText="1"/>
    </xf>
    <xf numFmtId="0" fontId="117" fillId="0" borderId="31" xfId="0" applyFont="1" applyFill="1" applyBorder="1" applyAlignment="1">
      <alignment vertical="top" wrapText="1"/>
    </xf>
    <xf numFmtId="0" fontId="117" fillId="0" borderId="38" xfId="0" applyFont="1" applyFill="1" applyBorder="1" applyAlignment="1">
      <alignment vertical="top" wrapText="1"/>
    </xf>
    <xf numFmtId="0" fontId="119" fillId="0" borderId="0" xfId="0" applyFont="1" applyAlignment="1">
      <alignment/>
    </xf>
    <xf numFmtId="171" fontId="4" fillId="0" borderId="13" xfId="0" applyNumberFormat="1" applyFont="1" applyFill="1" applyBorder="1" applyAlignment="1">
      <alignment horizontal="center" vertical="center" wrapText="1"/>
    </xf>
    <xf numFmtId="190" fontId="4" fillId="0" borderId="34" xfId="1089" applyNumberFormat="1" applyFont="1" applyFill="1" applyBorder="1" applyAlignment="1">
      <alignment horizontal="center" vertical="center" wrapText="1"/>
    </xf>
    <xf numFmtId="186" fontId="4" fillId="0" borderId="13" xfId="1089" applyNumberFormat="1" applyFont="1" applyFill="1" applyBorder="1" applyAlignment="1">
      <alignment horizontal="center" vertical="center" wrapText="1"/>
    </xf>
    <xf numFmtId="0" fontId="120" fillId="0" borderId="13" xfId="0" applyFont="1" applyFill="1" applyBorder="1" applyAlignment="1">
      <alignment vertical="center" wrapText="1"/>
    </xf>
    <xf numFmtId="0" fontId="121" fillId="0" borderId="13" xfId="0" applyFont="1" applyFill="1" applyBorder="1" applyAlignment="1">
      <alignment horizontal="center" vertical="top" wrapText="1"/>
    </xf>
    <xf numFmtId="0" fontId="121" fillId="0" borderId="34" xfId="0" applyFont="1" applyFill="1" applyBorder="1" applyAlignment="1">
      <alignment horizontal="center" vertical="top" wrapText="1"/>
    </xf>
    <xf numFmtId="4" fontId="18" fillId="0" borderId="34" xfId="0" applyNumberFormat="1" applyFont="1" applyFill="1" applyBorder="1" applyAlignment="1">
      <alignment horizontal="center" vertical="center" wrapText="1"/>
    </xf>
    <xf numFmtId="4" fontId="18" fillId="0" borderId="34" xfId="0" applyNumberFormat="1" applyFont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18" fillId="0" borderId="13" xfId="0" applyNumberFormat="1" applyFont="1" applyFill="1" applyBorder="1" applyAlignment="1">
      <alignment horizontal="center" vertical="center" wrapText="1"/>
    </xf>
    <xf numFmtId="4" fontId="18" fillId="0" borderId="13" xfId="0" applyNumberFormat="1" applyFont="1" applyBorder="1" applyAlignment="1">
      <alignment horizontal="center" vertical="center" wrapText="1"/>
    </xf>
    <xf numFmtId="0" fontId="121" fillId="0" borderId="13" xfId="0" applyFont="1" applyFill="1" applyBorder="1" applyAlignment="1">
      <alignment vertical="center" wrapText="1"/>
    </xf>
    <xf numFmtId="0" fontId="121" fillId="105" borderId="13" xfId="0" applyFont="1" applyFill="1" applyBorder="1" applyAlignment="1">
      <alignment horizontal="center" vertical="top" wrapText="1"/>
    </xf>
    <xf numFmtId="0" fontId="121" fillId="105" borderId="34" xfId="0" applyFont="1" applyFill="1" applyBorder="1" applyAlignment="1">
      <alignment horizontal="center" vertical="top" wrapText="1"/>
    </xf>
    <xf numFmtId="4" fontId="18" fillId="105" borderId="34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Alignment="1">
      <alignment horizontal="center" vertical="center" wrapText="1"/>
    </xf>
    <xf numFmtId="0" fontId="121" fillId="0" borderId="36" xfId="0" applyFont="1" applyFill="1" applyBorder="1" applyAlignment="1">
      <alignment vertical="center" wrapText="1"/>
    </xf>
    <xf numFmtId="49" fontId="121" fillId="0" borderId="13" xfId="0" applyNumberFormat="1" applyFont="1" applyFill="1" applyBorder="1" applyAlignment="1">
      <alignment horizontal="center" vertical="top" wrapText="1"/>
    </xf>
    <xf numFmtId="49" fontId="121" fillId="0" borderId="34" xfId="0" applyNumberFormat="1" applyFont="1" applyFill="1" applyBorder="1" applyAlignment="1">
      <alignment horizontal="center" vertical="top" wrapText="1"/>
    </xf>
    <xf numFmtId="3" fontId="18" fillId="0" borderId="13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Alignment="1">
      <alignment horizontal="center" vertical="center" wrapText="1"/>
    </xf>
    <xf numFmtId="0" fontId="121" fillId="0" borderId="13" xfId="0" applyFont="1" applyBorder="1" applyAlignment="1">
      <alignment horizontal="center" vertical="top" wrapText="1"/>
    </xf>
    <xf numFmtId="4" fontId="121" fillId="0" borderId="13" xfId="0" applyNumberFormat="1" applyFont="1" applyBorder="1" applyAlignment="1">
      <alignment horizontal="center" vertical="top" wrapText="1"/>
    </xf>
    <xf numFmtId="0" fontId="120" fillId="0" borderId="13" xfId="0" applyFont="1" applyBorder="1" applyAlignment="1">
      <alignment vertical="center" wrapText="1"/>
    </xf>
    <xf numFmtId="0" fontId="121" fillId="0" borderId="34" xfId="0" applyFont="1" applyBorder="1" applyAlignment="1">
      <alignment horizontal="center" vertical="top" wrapText="1"/>
    </xf>
    <xf numFmtId="4" fontId="4" fillId="0" borderId="34" xfId="0" applyNumberFormat="1" applyFont="1" applyFill="1" applyBorder="1" applyAlignment="1">
      <alignment horizontal="center" vertical="top" wrapText="1"/>
    </xf>
    <xf numFmtId="4" fontId="4" fillId="0" borderId="34" xfId="0" applyNumberFormat="1" applyFont="1" applyBorder="1" applyAlignment="1">
      <alignment horizontal="center" vertical="top" wrapText="1"/>
    </xf>
    <xf numFmtId="49" fontId="67" fillId="0" borderId="13" xfId="0" applyNumberFormat="1" applyFont="1" applyFill="1" applyBorder="1" applyAlignment="1" applyProtection="1">
      <alignment horizontal="center" vertical="center" wrapText="1"/>
      <protection/>
    </xf>
    <xf numFmtId="4" fontId="18" fillId="0" borderId="34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Alignment="1">
      <alignment horizontal="center" vertical="top" wrapText="1"/>
    </xf>
    <xf numFmtId="14" fontId="111" fillId="0" borderId="0" xfId="0" applyNumberFormat="1" applyFont="1" applyAlignment="1">
      <alignment/>
    </xf>
    <xf numFmtId="0" fontId="0" fillId="103" borderId="13" xfId="0" applyFill="1" applyBorder="1" applyAlignment="1">
      <alignment horizontal="center"/>
    </xf>
    <xf numFmtId="49" fontId="21" fillId="103" borderId="13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580" applyFont="1" applyFill="1">
      <alignment/>
      <protection/>
    </xf>
    <xf numFmtId="0" fontId="69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wrapText="1"/>
      <protection/>
    </xf>
    <xf numFmtId="0" fontId="69" fillId="0" borderId="0" xfId="580" applyFont="1" applyFill="1" applyAlignment="1">
      <alignment wrapText="1"/>
      <protection/>
    </xf>
    <xf numFmtId="0" fontId="72" fillId="0" borderId="0" xfId="580" applyNumberFormat="1" applyFont="1" applyFill="1" applyBorder="1" applyAlignment="1">
      <alignment/>
      <protection/>
    </xf>
    <xf numFmtId="0" fontId="69" fillId="0" borderId="0" xfId="580" applyFont="1" applyFill="1" applyBorder="1">
      <alignment/>
      <protection/>
    </xf>
    <xf numFmtId="0" fontId="69" fillId="0" borderId="33" xfId="580" applyFont="1" applyFill="1" applyBorder="1">
      <alignment/>
      <protection/>
    </xf>
    <xf numFmtId="0" fontId="71" fillId="0" borderId="0" xfId="580" applyFont="1" applyFill="1">
      <alignment/>
      <protection/>
    </xf>
    <xf numFmtId="0" fontId="8" fillId="0" borderId="0" xfId="580" applyFill="1" applyBorder="1" applyAlignment="1">
      <alignment/>
      <protection/>
    </xf>
    <xf numFmtId="0" fontId="67" fillId="0" borderId="36" xfId="580" applyNumberFormat="1" applyFont="1" applyFill="1" applyBorder="1" applyAlignment="1">
      <alignment horizont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8" fillId="0" borderId="36" xfId="580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center" vertical="top"/>
      <protection/>
    </xf>
    <xf numFmtId="0" fontId="67" fillId="0" borderId="36" xfId="580" applyNumberFormat="1" applyFont="1" applyFill="1" applyBorder="1" applyAlignment="1">
      <alignment horizontal="center"/>
      <protection/>
    </xf>
    <xf numFmtId="0" fontId="67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center" vertical="top"/>
      <protection/>
    </xf>
    <xf numFmtId="0" fontId="67" fillId="0" borderId="0" xfId="580" applyNumberFormat="1" applyFont="1" applyFill="1" applyBorder="1" applyAlignment="1">
      <alignment vertical="top"/>
      <protection/>
    </xf>
    <xf numFmtId="0" fontId="69" fillId="0" borderId="13" xfId="580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 wrapText="1"/>
      <protection/>
    </xf>
    <xf numFmtId="4" fontId="69" fillId="0" borderId="36" xfId="0" applyNumberFormat="1" applyFont="1" applyBorder="1" applyAlignment="1">
      <alignment horizontal="center" vertical="center"/>
    </xf>
    <xf numFmtId="4" fontId="69" fillId="0" borderId="13" xfId="0" applyNumberFormat="1" applyFont="1" applyBorder="1" applyAlignment="1">
      <alignment horizontal="center" vertical="center"/>
    </xf>
    <xf numFmtId="4" fontId="69" fillId="0" borderId="13" xfId="0" applyNumberFormat="1" applyFont="1" applyFill="1" applyBorder="1" applyAlignment="1">
      <alignment horizontal="center" vertical="center"/>
    </xf>
    <xf numFmtId="0" fontId="67" fillId="0" borderId="13" xfId="580" applyNumberFormat="1" applyFont="1" applyFill="1" applyBorder="1" applyAlignment="1">
      <alignment horizontal="left" vertical="center"/>
      <protection/>
    </xf>
    <xf numFmtId="0" fontId="67" fillId="0" borderId="0" xfId="580" applyNumberFormat="1" applyFont="1" applyFill="1" applyBorder="1" applyAlignment="1">
      <alignment vertical="center"/>
      <protection/>
    </xf>
    <xf numFmtId="49" fontId="67" fillId="0" borderId="36" xfId="580" applyNumberFormat="1" applyFont="1" applyFill="1" applyBorder="1" applyAlignment="1">
      <alignment vertical="center"/>
      <protection/>
    </xf>
    <xf numFmtId="4" fontId="71" fillId="0" borderId="13" xfId="0" applyNumberFormat="1" applyFont="1" applyFill="1" applyBorder="1" applyAlignment="1">
      <alignment horizontal="center" vertical="center"/>
    </xf>
    <xf numFmtId="0" fontId="67" fillId="0" borderId="36" xfId="580" applyNumberFormat="1" applyFont="1" applyFill="1" applyBorder="1" applyAlignment="1">
      <alignment horizontal="center" vertical="center"/>
      <protection/>
    </xf>
    <xf numFmtId="4" fontId="113" fillId="0" borderId="13" xfId="606" applyNumberFormat="1" applyFont="1" applyFill="1" applyBorder="1" applyAlignment="1">
      <alignment horizontal="center" wrapText="1"/>
      <protection/>
    </xf>
    <xf numFmtId="0" fontId="113" fillId="0" borderId="13" xfId="606" applyFont="1" applyFill="1" applyBorder="1" applyAlignment="1">
      <alignment horizontal="center" vertical="top" wrapText="1"/>
      <protection/>
    </xf>
    <xf numFmtId="0" fontId="71" fillId="0" borderId="13" xfId="580" applyNumberFormat="1" applyFont="1" applyFill="1" applyBorder="1" applyAlignment="1">
      <alignment horizontal="center" vertical="center"/>
      <protection/>
    </xf>
    <xf numFmtId="0" fontId="71" fillId="0" borderId="13" xfId="580" applyFont="1" applyFill="1" applyBorder="1">
      <alignment/>
      <protection/>
    </xf>
    <xf numFmtId="0" fontId="113" fillId="0" borderId="0" xfId="606" applyFont="1" applyFill="1" applyBorder="1" applyAlignment="1">
      <alignment horizontal="center" vertical="top" wrapText="1"/>
      <protection/>
    </xf>
    <xf numFmtId="0" fontId="113" fillId="0" borderId="0" xfId="606" applyFont="1" applyFill="1" applyBorder="1" applyAlignment="1">
      <alignment horizontal="center" wrapText="1"/>
      <protection/>
    </xf>
    <xf numFmtId="0" fontId="67" fillId="0" borderId="0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>
      <alignment/>
      <protection/>
    </xf>
    <xf numFmtId="0" fontId="71" fillId="0" borderId="0" xfId="580" applyFont="1" applyFill="1" applyAlignment="1">
      <alignment horizontal="left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8" fillId="0" borderId="0" xfId="580" applyFill="1" applyBorder="1" applyAlignment="1">
      <alignment vertical="top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2" fontId="69" fillId="0" borderId="0" xfId="580" applyNumberFormat="1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/>
      <protection/>
    </xf>
    <xf numFmtId="0" fontId="67" fillId="0" borderId="36" xfId="580" applyFont="1" applyFill="1" applyBorder="1" applyAlignment="1">
      <alignment horizontal="center"/>
      <protection/>
    </xf>
    <xf numFmtId="0" fontId="67" fillId="0" borderId="0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vertical="top" wrapText="1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13" xfId="580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horizontal="center"/>
      <protection/>
    </xf>
    <xf numFmtId="49" fontId="67" fillId="0" borderId="36" xfId="580" applyNumberFormat="1" applyFont="1" applyFill="1" applyBorder="1" applyAlignment="1">
      <alignment horizontal="center" vertical="center"/>
      <protection/>
    </xf>
    <xf numFmtId="171" fontId="69" fillId="0" borderId="13" xfId="0" applyNumberFormat="1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4" fontId="70" fillId="0" borderId="13" xfId="0" applyNumberFormat="1" applyFont="1" applyBorder="1" applyAlignment="1">
      <alignment horizontal="center" vertical="top"/>
    </xf>
    <xf numFmtId="4" fontId="71" fillId="0" borderId="13" xfId="580" applyNumberFormat="1" applyFont="1" applyFill="1" applyBorder="1">
      <alignment/>
      <protection/>
    </xf>
    <xf numFmtId="0" fontId="69" fillId="0" borderId="0" xfId="580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0" xfId="580" applyFont="1" applyFill="1" applyAlignment="1">
      <alignment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7" fillId="0" borderId="0" xfId="580" applyNumberFormat="1" applyFont="1" applyFill="1" applyBorder="1" applyAlignment="1">
      <alignment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73" fillId="0" borderId="36" xfId="580" applyNumberFormat="1" applyFont="1" applyFill="1" applyBorder="1" applyAlignment="1">
      <alignment horizontal="center" vertical="center"/>
      <protection/>
    </xf>
    <xf numFmtId="0" fontId="73" fillId="0" borderId="13" xfId="580" applyFont="1" applyFill="1" applyBorder="1" applyAlignment="1">
      <alignment horizontal="center" vertical="center"/>
      <protection/>
    </xf>
    <xf numFmtId="0" fontId="73" fillId="0" borderId="36" xfId="580" applyFont="1" applyFill="1" applyBorder="1" applyAlignment="1">
      <alignment horizontal="center" vertical="center"/>
      <protection/>
    </xf>
    <xf numFmtId="49" fontId="69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NumberFormat="1" applyFont="1" applyFill="1" applyBorder="1" applyAlignment="1">
      <alignment horizontal="center" vertical="center"/>
      <protection/>
    </xf>
    <xf numFmtId="0" fontId="69" fillId="0" borderId="36" xfId="580" applyNumberFormat="1" applyFont="1" applyFill="1" applyBorder="1" applyAlignment="1">
      <alignment/>
      <protection/>
    </xf>
    <xf numFmtId="0" fontId="69" fillId="0" borderId="36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vertical="center"/>
      <protection/>
    </xf>
    <xf numFmtId="0" fontId="69" fillId="0" borderId="0" xfId="580" applyFont="1" applyFill="1" applyBorder="1" applyAlignment="1">
      <alignment/>
      <protection/>
    </xf>
    <xf numFmtId="0" fontId="67" fillId="0" borderId="13" xfId="580" applyFont="1" applyFill="1" applyBorder="1" applyAlignment="1">
      <alignment horizontal="center" vertical="top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7" fillId="0" borderId="36" xfId="580" applyFont="1" applyFill="1" applyBorder="1" applyAlignment="1">
      <alignment horizontal="center" vertical="center"/>
      <protection/>
    </xf>
    <xf numFmtId="4" fontId="69" fillId="0" borderId="13" xfId="1068" applyNumberFormat="1" applyFont="1" applyFill="1" applyBorder="1" applyAlignment="1">
      <alignment horizontal="center"/>
    </xf>
    <xf numFmtId="177" fontId="69" fillId="0" borderId="13" xfId="580" applyNumberFormat="1" applyFont="1" applyFill="1" applyBorder="1" applyAlignment="1">
      <alignment horizontal="center" vertical="center"/>
      <protection/>
    </xf>
    <xf numFmtId="176" fontId="69" fillId="0" borderId="13" xfId="1068" applyNumberFormat="1" applyFont="1" applyFill="1" applyBorder="1" applyAlignment="1">
      <alignment horizontal="center"/>
    </xf>
    <xf numFmtId="0" fontId="69" fillId="0" borderId="36" xfId="580" applyFont="1" applyFill="1" applyBorder="1">
      <alignment/>
      <protection/>
    </xf>
    <xf numFmtId="4" fontId="69" fillId="0" borderId="13" xfId="580" applyNumberFormat="1" applyFont="1" applyFill="1" applyBorder="1" applyAlignment="1">
      <alignment horizontal="center"/>
      <protection/>
    </xf>
    <xf numFmtId="0" fontId="69" fillId="0" borderId="36" xfId="580" applyNumberFormat="1" applyFont="1" applyFill="1" applyBorder="1" applyAlignment="1">
      <alignment horizontal="center" vertical="center"/>
      <protection/>
    </xf>
    <xf numFmtId="177" fontId="71" fillId="0" borderId="13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13" xfId="580" applyNumberFormat="1" applyFont="1" applyFill="1" applyBorder="1" applyAlignment="1">
      <alignment horizontal="center" wrapText="1"/>
      <protection/>
    </xf>
    <xf numFmtId="0" fontId="69" fillId="0" borderId="36" xfId="580" applyFont="1" applyFill="1" applyBorder="1" applyAlignment="1">
      <alignment horizontal="center" wrapText="1"/>
      <protection/>
    </xf>
    <xf numFmtId="2" fontId="69" fillId="0" borderId="0" xfId="580" applyNumberFormat="1" applyFont="1" applyFill="1" applyBorder="1" applyAlignment="1">
      <alignment horizontal="center" wrapText="1"/>
      <protection/>
    </xf>
    <xf numFmtId="0" fontId="69" fillId="0" borderId="0" xfId="580" applyFont="1" applyFill="1" applyBorder="1" applyAlignment="1">
      <alignment vertical="center" wrapText="1"/>
      <protection/>
    </xf>
    <xf numFmtId="0" fontId="67" fillId="0" borderId="13" xfId="580" applyNumberFormat="1" applyFont="1" applyFill="1" applyBorder="1" applyAlignment="1">
      <alignment horizontal="center"/>
      <protection/>
    </xf>
    <xf numFmtId="0" fontId="69" fillId="0" borderId="13" xfId="580" applyNumberFormat="1" applyFont="1" applyFill="1" applyBorder="1" applyAlignment="1">
      <alignment horizontal="center"/>
      <protection/>
    </xf>
    <xf numFmtId="0" fontId="69" fillId="0" borderId="0" xfId="580" applyNumberFormat="1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Alignment="1">
      <alignment wrapText="1"/>
      <protection/>
    </xf>
    <xf numFmtId="0" fontId="67" fillId="0" borderId="31" xfId="580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center"/>
      <protection/>
    </xf>
    <xf numFmtId="0" fontId="71" fillId="0" borderId="0" xfId="580" applyFont="1" applyFill="1" applyBorder="1" applyAlignment="1">
      <alignment/>
      <protection/>
    </xf>
    <xf numFmtId="0" fontId="67" fillId="0" borderId="0" xfId="580" applyNumberFormat="1" applyFont="1" applyFill="1" applyBorder="1" applyAlignment="1">
      <alignment horizontal="left" vertical="center" wrapText="1"/>
      <protection/>
    </xf>
    <xf numFmtId="0" fontId="67" fillId="0" borderId="0" xfId="580" applyNumberFormat="1" applyFont="1" applyFill="1" applyBorder="1" applyAlignment="1">
      <alignment horizontal="left" vertical="top"/>
      <protection/>
    </xf>
    <xf numFmtId="195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Fill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 wrapText="1"/>
    </xf>
    <xf numFmtId="171" fontId="69" fillId="0" borderId="13" xfId="0" applyNumberFormat="1" applyFont="1" applyBorder="1" applyAlignment="1">
      <alignment horizontal="center"/>
    </xf>
    <xf numFmtId="171" fontId="71" fillId="0" borderId="13" xfId="580" applyNumberFormat="1" applyFont="1" applyFill="1" applyBorder="1" applyAlignment="1">
      <alignment horizontal="center" vertical="center"/>
      <protection/>
    </xf>
    <xf numFmtId="171" fontId="71" fillId="0" borderId="36" xfId="580" applyNumberFormat="1" applyFont="1" applyFill="1" applyBorder="1" applyAlignment="1">
      <alignment horizontal="center"/>
      <protection/>
    </xf>
    <xf numFmtId="171" fontId="71" fillId="0" borderId="13" xfId="580" applyNumberFormat="1" applyFont="1" applyFill="1" applyBorder="1" applyAlignment="1">
      <alignment horizontal="center"/>
      <protection/>
    </xf>
    <xf numFmtId="49" fontId="67" fillId="0" borderId="0" xfId="580" applyNumberFormat="1" applyFont="1" applyFill="1" applyBorder="1" applyAlignment="1">
      <alignment horizontal="left" vertical="center"/>
      <protection/>
    </xf>
    <xf numFmtId="49" fontId="69" fillId="0" borderId="36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wrapText="1"/>
    </xf>
    <xf numFmtId="4" fontId="69" fillId="0" borderId="13" xfId="0" applyNumberFormat="1" applyFont="1" applyFill="1" applyBorder="1" applyAlignment="1">
      <alignment horizontal="center" wrapText="1"/>
    </xf>
    <xf numFmtId="4" fontId="69" fillId="0" borderId="13" xfId="0" applyNumberFormat="1" applyFont="1" applyBorder="1" applyAlignment="1">
      <alignment horizontal="center"/>
    </xf>
    <xf numFmtId="0" fontId="69" fillId="0" borderId="36" xfId="580" applyNumberFormat="1" applyFont="1" applyFill="1" applyBorder="1" applyAlignment="1">
      <alignment horizontal="center" wrapText="1"/>
      <protection/>
    </xf>
    <xf numFmtId="4" fontId="69" fillId="0" borderId="36" xfId="580" applyNumberFormat="1" applyFont="1" applyFill="1" applyBorder="1" applyAlignment="1">
      <alignment horizontal="center"/>
      <protection/>
    </xf>
    <xf numFmtId="4" fontId="71" fillId="0" borderId="36" xfId="580" applyNumberFormat="1" applyFont="1" applyFill="1" applyBorder="1" applyAlignment="1">
      <alignment horizontal="center"/>
      <protection/>
    </xf>
    <xf numFmtId="4" fontId="70" fillId="0" borderId="13" xfId="580" applyNumberFormat="1" applyFont="1" applyFill="1" applyBorder="1" applyAlignment="1">
      <alignment horizontal="center"/>
      <protection/>
    </xf>
    <xf numFmtId="0" fontId="69" fillId="0" borderId="13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171" fontId="69" fillId="0" borderId="13" xfId="0" applyNumberFormat="1" applyFont="1" applyBorder="1" applyAlignment="1">
      <alignment horizontal="center" vertical="center"/>
    </xf>
    <xf numFmtId="0" fontId="74" fillId="0" borderId="36" xfId="580" applyNumberFormat="1" applyFont="1" applyFill="1" applyBorder="1" applyAlignment="1">
      <alignment horizontal="center"/>
      <protection/>
    </xf>
    <xf numFmtId="171" fontId="70" fillId="0" borderId="13" xfId="580" applyNumberFormat="1" applyFont="1" applyFill="1" applyBorder="1" applyAlignment="1">
      <alignment horizontal="center"/>
      <protection/>
    </xf>
    <xf numFmtId="171" fontId="70" fillId="0" borderId="36" xfId="580" applyNumberFormat="1" applyFont="1" applyFill="1" applyBorder="1" applyAlignment="1">
      <alignment horizontal="center"/>
      <protection/>
    </xf>
    <xf numFmtId="171" fontId="69" fillId="0" borderId="13" xfId="580" applyNumberFormat="1" applyFont="1" applyFill="1" applyBorder="1" applyAlignment="1">
      <alignment horizontal="center"/>
      <protection/>
    </xf>
    <xf numFmtId="0" fontId="8" fillId="0" borderId="0" xfId="580" applyFill="1" applyBorder="1" applyAlignment="1">
      <alignment vertical="top" wrapText="1"/>
      <protection/>
    </xf>
    <xf numFmtId="0" fontId="69" fillId="0" borderId="34" xfId="580" applyFont="1" applyFill="1" applyBorder="1" applyAlignment="1">
      <alignment horizontal="center" vertical="center"/>
      <protection/>
    </xf>
    <xf numFmtId="171" fontId="69" fillId="0" borderId="13" xfId="580" applyNumberFormat="1" applyFont="1" applyFill="1" applyBorder="1" applyAlignment="1">
      <alignment horizontal="center" vertical="center"/>
      <protection/>
    </xf>
    <xf numFmtId="171" fontId="71" fillId="0" borderId="13" xfId="580" applyNumberFormat="1" applyFont="1" applyFill="1" applyBorder="1">
      <alignment/>
      <protection/>
    </xf>
    <xf numFmtId="0" fontId="69" fillId="0" borderId="13" xfId="0" applyFont="1" applyBorder="1" applyAlignment="1">
      <alignment horizontal="center"/>
    </xf>
    <xf numFmtId="1" fontId="69" fillId="0" borderId="13" xfId="0" applyNumberFormat="1" applyFont="1" applyBorder="1" applyAlignment="1">
      <alignment horizontal="center"/>
    </xf>
    <xf numFmtId="0" fontId="71" fillId="0" borderId="13" xfId="580" applyFont="1" applyFill="1" applyBorder="1" applyAlignment="1">
      <alignment horizontal="center"/>
      <protection/>
    </xf>
    <xf numFmtId="0" fontId="70" fillId="0" borderId="0" xfId="580" applyFont="1">
      <alignment/>
      <protection/>
    </xf>
    <xf numFmtId="0" fontId="75" fillId="0" borderId="0" xfId="580" applyFont="1" applyBorder="1" applyAlignment="1">
      <alignment horizontal="center"/>
      <protection/>
    </xf>
    <xf numFmtId="0" fontId="69" fillId="0" borderId="0" xfId="580" applyFont="1">
      <alignment/>
      <protection/>
    </xf>
    <xf numFmtId="0" fontId="69" fillId="0" borderId="0" xfId="580" applyFont="1" applyBorder="1">
      <alignment/>
      <protection/>
    </xf>
    <xf numFmtId="0" fontId="69" fillId="0" borderId="0" xfId="580" applyFont="1" applyBorder="1" applyAlignment="1">
      <alignment horizontal="left"/>
      <protection/>
    </xf>
    <xf numFmtId="0" fontId="69" fillId="0" borderId="0" xfId="580" applyFont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13" xfId="580" applyFont="1" applyBorder="1" applyAlignment="1">
      <alignment horizontal="center" vertical="top" wrapText="1"/>
      <protection/>
    </xf>
    <xf numFmtId="0" fontId="111" fillId="0" borderId="0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left" vertical="center"/>
      <protection/>
    </xf>
    <xf numFmtId="4" fontId="69" fillId="0" borderId="13" xfId="580" applyNumberFormat="1" applyFont="1" applyBorder="1" applyAlignment="1">
      <alignment horizontal="center" vertical="center" wrapText="1"/>
      <protection/>
    </xf>
    <xf numFmtId="4" fontId="70" fillId="0" borderId="13" xfId="580" applyNumberFormat="1" applyFont="1" applyBorder="1" applyAlignment="1">
      <alignment horizontal="center" vertical="center"/>
      <protection/>
    </xf>
    <xf numFmtId="0" fontId="111" fillId="0" borderId="0" xfId="580" applyFont="1" applyFill="1">
      <alignment/>
      <protection/>
    </xf>
    <xf numFmtId="0" fontId="111" fillId="0" borderId="0" xfId="580" applyFont="1" applyFill="1" applyAlignment="1">
      <alignment horizontal="center"/>
      <protection/>
    </xf>
    <xf numFmtId="171" fontId="69" fillId="0" borderId="36" xfId="0" applyNumberFormat="1" applyFont="1" applyBorder="1" applyAlignment="1">
      <alignment horizontal="center" vertical="top"/>
    </xf>
    <xf numFmtId="171" fontId="67" fillId="0" borderId="13" xfId="580" applyNumberFormat="1" applyFont="1" applyFill="1" applyBorder="1" applyAlignment="1">
      <alignment horizontal="center" vertical="center"/>
      <protection/>
    </xf>
    <xf numFmtId="171" fontId="69" fillId="0" borderId="36" xfId="0" applyNumberFormat="1" applyFont="1" applyBorder="1" applyAlignment="1">
      <alignment horizontal="center" vertical="center"/>
    </xf>
    <xf numFmtId="171" fontId="71" fillId="0" borderId="13" xfId="0" applyNumberFormat="1" applyFont="1" applyFill="1" applyBorder="1" applyAlignment="1">
      <alignment horizontal="center" vertical="center"/>
    </xf>
    <xf numFmtId="171" fontId="67" fillId="0" borderId="36" xfId="580" applyNumberFormat="1" applyFont="1" applyFill="1" applyBorder="1" applyAlignment="1">
      <alignment horizontal="center"/>
      <protection/>
    </xf>
    <xf numFmtId="171" fontId="67" fillId="0" borderId="36" xfId="580" applyNumberFormat="1" applyFont="1" applyFill="1" applyBorder="1" applyAlignment="1">
      <alignment horizontal="center" vertical="center"/>
      <protection/>
    </xf>
    <xf numFmtId="171" fontId="113" fillId="0" borderId="13" xfId="606" applyNumberFormat="1" applyFont="1" applyFill="1" applyBorder="1" applyAlignment="1">
      <alignment horizontal="center" wrapText="1"/>
      <protection/>
    </xf>
    <xf numFmtId="171" fontId="113" fillId="0" borderId="13" xfId="606" applyNumberFormat="1" applyFont="1" applyFill="1" applyBorder="1" applyAlignment="1">
      <alignment horizontal="center" vertical="top" wrapText="1"/>
      <protection/>
    </xf>
    <xf numFmtId="171" fontId="69" fillId="0" borderId="36" xfId="580" applyNumberFormat="1" applyFont="1" applyBorder="1" applyAlignment="1">
      <alignment horizontal="center" vertical="center"/>
      <protection/>
    </xf>
    <xf numFmtId="171" fontId="69" fillId="0" borderId="13" xfId="580" applyNumberFormat="1" applyFont="1" applyBorder="1" applyAlignment="1">
      <alignment horizontal="center" vertical="center"/>
      <protection/>
    </xf>
    <xf numFmtId="171" fontId="69" fillId="0" borderId="36" xfId="580" applyNumberFormat="1" applyFont="1" applyFill="1" applyBorder="1" applyAlignment="1">
      <alignment vertical="center"/>
      <protection/>
    </xf>
    <xf numFmtId="0" fontId="71" fillId="0" borderId="36" xfId="580" applyNumberFormat="1" applyFont="1" applyFill="1" applyBorder="1" applyAlignment="1">
      <alignment horizontal="center"/>
      <protection/>
    </xf>
    <xf numFmtId="171" fontId="71" fillId="0" borderId="36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Alignment="1">
      <alignment/>
      <protection/>
    </xf>
    <xf numFmtId="0" fontId="74" fillId="0" borderId="0" xfId="580" applyNumberFormat="1" applyFont="1" applyFill="1" applyBorder="1" applyAlignment="1">
      <alignment vertical="center"/>
      <protection/>
    </xf>
    <xf numFmtId="49" fontId="74" fillId="0" borderId="0" xfId="580" applyNumberFormat="1" applyFont="1" applyFill="1" applyBorder="1" applyAlignment="1">
      <alignment vertical="center"/>
      <protection/>
    </xf>
    <xf numFmtId="0" fontId="69" fillId="0" borderId="36" xfId="580" applyNumberFormat="1" applyFont="1" applyFill="1" applyBorder="1" applyAlignment="1">
      <alignment vertical="center" wrapText="1"/>
      <protection/>
    </xf>
    <xf numFmtId="0" fontId="76" fillId="0" borderId="13" xfId="0" applyNumberFormat="1" applyFont="1" applyBorder="1" applyAlignment="1">
      <alignment horizontal="center" vertical="top" wrapText="1"/>
    </xf>
    <xf numFmtId="49" fontId="71" fillId="0" borderId="36" xfId="580" applyNumberFormat="1" applyFont="1" applyFill="1" applyBorder="1" applyAlignment="1">
      <alignment vertical="center"/>
      <protection/>
    </xf>
    <xf numFmtId="171" fontId="71" fillId="0" borderId="36" xfId="0" applyNumberFormat="1" applyFont="1" applyBorder="1" applyAlignment="1">
      <alignment horizontal="center" vertical="top"/>
    </xf>
    <xf numFmtId="171" fontId="71" fillId="0" borderId="13" xfId="0" applyNumberFormat="1" applyFont="1" applyBorder="1" applyAlignment="1">
      <alignment horizontal="center" vertical="top"/>
    </xf>
    <xf numFmtId="171" fontId="70" fillId="0" borderId="13" xfId="0" applyNumberFormat="1" applyFont="1" applyBorder="1" applyAlignment="1">
      <alignment horizontal="center" vertical="top"/>
    </xf>
    <xf numFmtId="0" fontId="71" fillId="0" borderId="13" xfId="0" applyNumberFormat="1" applyFont="1" applyBorder="1" applyAlignment="1">
      <alignment horizontal="center" vertical="top"/>
    </xf>
    <xf numFmtId="0" fontId="69" fillId="0" borderId="0" xfId="580" applyFont="1" applyFill="1" applyBorder="1" applyAlignment="1">
      <alignment horizontal="center" vertical="top" wrapText="1"/>
      <protection/>
    </xf>
    <xf numFmtId="0" fontId="69" fillId="0" borderId="0" xfId="580" applyNumberFormat="1" applyFont="1" applyFill="1" applyBorder="1" applyAlignment="1">
      <alignment horizontal="left" vertical="center" wrapText="1"/>
      <protection/>
    </xf>
    <xf numFmtId="4" fontId="69" fillId="0" borderId="13" xfId="580" applyNumberFormat="1" applyFont="1" applyFill="1" applyBorder="1" applyAlignment="1">
      <alignment horizontal="center" vertical="center"/>
      <protection/>
    </xf>
    <xf numFmtId="4" fontId="69" fillId="0" borderId="13" xfId="580" applyNumberFormat="1" applyFont="1" applyFill="1" applyBorder="1">
      <alignment/>
      <protection/>
    </xf>
    <xf numFmtId="4" fontId="71" fillId="0" borderId="0" xfId="580" applyNumberFormat="1" applyFont="1" applyFill="1" applyBorder="1">
      <alignment/>
      <protection/>
    </xf>
    <xf numFmtId="0" fontId="73" fillId="0" borderId="0" xfId="580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vertical="center" wrapText="1"/>
      <protection/>
    </xf>
    <xf numFmtId="0" fontId="67" fillId="0" borderId="0" xfId="580" applyFont="1" applyFill="1" applyBorder="1" applyAlignment="1">
      <alignment horizontal="center" vertical="center"/>
      <protection/>
    </xf>
    <xf numFmtId="2" fontId="69" fillId="0" borderId="13" xfId="580" applyNumberFormat="1" applyFont="1" applyFill="1" applyBorder="1" applyAlignment="1">
      <alignment horizontal="center" vertical="center"/>
      <protection/>
    </xf>
    <xf numFmtId="177" fontId="69" fillId="0" borderId="0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 vertical="center"/>
      <protection/>
    </xf>
    <xf numFmtId="0" fontId="69" fillId="0" borderId="0" xfId="580" applyFont="1" applyFill="1" applyBorder="1" applyAlignment="1">
      <alignment horizontal="center" wrapText="1"/>
      <protection/>
    </xf>
    <xf numFmtId="4" fontId="69" fillId="0" borderId="0" xfId="580" applyNumberFormat="1" applyFont="1" applyFill="1" applyBorder="1" applyAlignment="1">
      <alignment horizontal="center"/>
      <protection/>
    </xf>
    <xf numFmtId="0" fontId="67" fillId="0" borderId="40" xfId="580" applyFont="1" applyFill="1" applyBorder="1" applyAlignment="1">
      <alignment horizontal="center"/>
      <protection/>
    </xf>
    <xf numFmtId="171" fontId="69" fillId="0" borderId="36" xfId="0" applyNumberFormat="1" applyFont="1" applyBorder="1" applyAlignment="1">
      <alignment horizontal="center"/>
    </xf>
    <xf numFmtId="171" fontId="69" fillId="0" borderId="40" xfId="0" applyNumberFormat="1" applyFont="1" applyBorder="1" applyAlignment="1">
      <alignment horizontal="center"/>
    </xf>
    <xf numFmtId="171" fontId="69" fillId="0" borderId="0" xfId="0" applyNumberFormat="1" applyFont="1" applyBorder="1" applyAlignment="1">
      <alignment horizontal="center"/>
    </xf>
    <xf numFmtId="4" fontId="67" fillId="0" borderId="36" xfId="580" applyNumberFormat="1" applyFont="1" applyFill="1" applyBorder="1" applyAlignment="1">
      <alignment horizontal="center" vertical="center"/>
      <protection/>
    </xf>
    <xf numFmtId="0" fontId="69" fillId="0" borderId="40" xfId="580" applyNumberFormat="1" applyFont="1" applyFill="1" applyBorder="1" applyAlignment="1">
      <alignment horizontal="center"/>
      <protection/>
    </xf>
    <xf numFmtId="0" fontId="74" fillId="0" borderId="36" xfId="580" applyNumberFormat="1" applyFont="1" applyFill="1" applyBorder="1" applyAlignment="1">
      <alignment horizontal="center" vertical="center"/>
      <protection/>
    </xf>
    <xf numFmtId="4" fontId="74" fillId="0" borderId="36" xfId="580" applyNumberFormat="1" applyFont="1" applyFill="1" applyBorder="1" applyAlignment="1">
      <alignment horizontal="center" vertical="center"/>
      <protection/>
    </xf>
    <xf numFmtId="4" fontId="71" fillId="0" borderId="13" xfId="580" applyNumberFormat="1" applyFont="1" applyFill="1" applyBorder="1" applyAlignment="1">
      <alignment horizontal="center"/>
      <protection/>
    </xf>
    <xf numFmtId="4" fontId="69" fillId="0" borderId="0" xfId="0" applyNumberFormat="1" applyFont="1" applyBorder="1" applyAlignment="1">
      <alignment horizontal="center"/>
    </xf>
    <xf numFmtId="171" fontId="69" fillId="0" borderId="13" xfId="0" applyNumberFormat="1" applyFont="1" applyBorder="1" applyAlignment="1">
      <alignment vertical="center"/>
    </xf>
    <xf numFmtId="171" fontId="69" fillId="0" borderId="13" xfId="580" applyNumberFormat="1" applyFont="1" applyFill="1" applyBorder="1" applyAlignment="1">
      <alignment vertical="center"/>
      <protection/>
    </xf>
    <xf numFmtId="4" fontId="73" fillId="0" borderId="39" xfId="580" applyNumberFormat="1" applyFont="1" applyFill="1" applyBorder="1" applyAlignment="1">
      <alignment horizontal="center"/>
      <protection/>
    </xf>
    <xf numFmtId="4" fontId="73" fillId="0" borderId="13" xfId="580" applyNumberFormat="1" applyFont="1" applyFill="1" applyBorder="1" applyAlignment="1">
      <alignment horizontal="center"/>
      <protection/>
    </xf>
    <xf numFmtId="4" fontId="71" fillId="0" borderId="13" xfId="580" applyNumberFormat="1" applyFont="1" applyBorder="1" applyAlignment="1">
      <alignment horizontal="center" vertical="center" wrapText="1"/>
      <protection/>
    </xf>
    <xf numFmtId="0" fontId="74" fillId="0" borderId="36" xfId="580" applyNumberFormat="1" applyFont="1" applyFill="1" applyBorder="1" applyAlignment="1">
      <alignment vertical="center" wrapText="1"/>
      <protection/>
    </xf>
    <xf numFmtId="4" fontId="71" fillId="0" borderId="36" xfId="0" applyNumberFormat="1" applyFont="1" applyBorder="1" applyAlignment="1">
      <alignment horizontal="center" vertical="center"/>
    </xf>
    <xf numFmtId="4" fontId="71" fillId="0" borderId="13" xfId="0" applyNumberFormat="1" applyFont="1" applyBorder="1" applyAlignment="1">
      <alignment horizontal="center" vertical="center"/>
    </xf>
    <xf numFmtId="0" fontId="74" fillId="0" borderId="13" xfId="580" applyNumberFormat="1" applyFont="1" applyFill="1" applyBorder="1" applyAlignment="1">
      <alignment horizontal="left" vertical="center"/>
      <protection/>
    </xf>
    <xf numFmtId="49" fontId="74" fillId="0" borderId="36" xfId="580" applyNumberFormat="1" applyFont="1" applyFill="1" applyBorder="1" applyAlignment="1">
      <alignment vertical="center"/>
      <protection/>
    </xf>
    <xf numFmtId="0" fontId="74" fillId="0" borderId="13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>
      <alignment/>
      <protection/>
    </xf>
    <xf numFmtId="0" fontId="71" fillId="0" borderId="36" xfId="580" applyNumberFormat="1" applyFont="1" applyFill="1" applyBorder="1" applyAlignment="1">
      <alignment vertical="center" wrapText="1"/>
      <protection/>
    </xf>
    <xf numFmtId="0" fontId="71" fillId="0" borderId="13" xfId="580" applyNumberFormat="1" applyFont="1" applyFill="1" applyBorder="1" applyAlignment="1">
      <alignment horizontal="left" vertical="center"/>
      <protection/>
    </xf>
    <xf numFmtId="0" fontId="71" fillId="0" borderId="0" xfId="580" applyNumberFormat="1" applyFont="1" applyFill="1" applyBorder="1" applyAlignment="1">
      <alignment vertical="center"/>
      <protection/>
    </xf>
    <xf numFmtId="171" fontId="69" fillId="0" borderId="0" xfId="580" applyNumberFormat="1" applyFont="1" applyFill="1">
      <alignment/>
      <protection/>
    </xf>
    <xf numFmtId="0" fontId="117" fillId="0" borderId="13" xfId="0" applyFont="1" applyFill="1" applyBorder="1" applyAlignment="1">
      <alignment horizontal="center" vertical="center" wrapText="1"/>
    </xf>
    <xf numFmtId="49" fontId="117" fillId="0" borderId="13" xfId="0" applyNumberFormat="1" applyFont="1" applyFill="1" applyBorder="1" applyAlignment="1">
      <alignment horizontal="center" vertical="center" wrapText="1"/>
    </xf>
    <xf numFmtId="171" fontId="69" fillId="0" borderId="0" xfId="580" applyNumberFormat="1" applyFont="1" applyFill="1" applyBorder="1">
      <alignment/>
      <protection/>
    </xf>
    <xf numFmtId="0" fontId="70" fillId="0" borderId="36" xfId="580" applyNumberFormat="1" applyFont="1" applyFill="1" applyBorder="1" applyAlignment="1">
      <alignment horizontal="center" vertical="center"/>
      <protection/>
    </xf>
    <xf numFmtId="4" fontId="70" fillId="0" borderId="13" xfId="580" applyNumberFormat="1" applyFont="1" applyFill="1" applyBorder="1" applyAlignment="1">
      <alignment horizontal="center" vertical="center"/>
      <protection/>
    </xf>
    <xf numFmtId="0" fontId="70" fillId="0" borderId="0" xfId="580" applyNumberFormat="1" applyFont="1" applyFill="1" applyBorder="1" applyAlignment="1">
      <alignment horizontal="center"/>
      <protection/>
    </xf>
    <xf numFmtId="0" fontId="70" fillId="0" borderId="0" xfId="580" applyFont="1" applyFill="1" applyBorder="1">
      <alignment/>
      <protection/>
    </xf>
    <xf numFmtId="0" fontId="70" fillId="0" borderId="0" xfId="580" applyFont="1" applyFill="1">
      <alignment/>
      <protection/>
    </xf>
    <xf numFmtId="49" fontId="71" fillId="0" borderId="39" xfId="580" applyNumberFormat="1" applyFont="1" applyFill="1" applyBorder="1" applyAlignment="1">
      <alignment horizontal="left"/>
      <protection/>
    </xf>
    <xf numFmtId="49" fontId="71" fillId="0" borderId="33" xfId="580" applyNumberFormat="1" applyFont="1" applyFill="1" applyBorder="1" applyAlignment="1">
      <alignment horizontal="left"/>
      <protection/>
    </xf>
    <xf numFmtId="0" fontId="74" fillId="0" borderId="39" xfId="580" applyNumberFormat="1" applyFont="1" applyFill="1" applyBorder="1" applyAlignment="1">
      <alignment horizontal="center"/>
      <protection/>
    </xf>
    <xf numFmtId="4" fontId="71" fillId="0" borderId="0" xfId="580" applyNumberFormat="1" applyFont="1" applyFill="1">
      <alignment/>
      <protection/>
    </xf>
    <xf numFmtId="0" fontId="117" fillId="0" borderId="0" xfId="0" applyFont="1" applyAlignment="1">
      <alignment wrapText="1"/>
    </xf>
    <xf numFmtId="0" fontId="71" fillId="0" borderId="36" xfId="580" applyFont="1" applyFill="1" applyBorder="1" applyAlignment="1">
      <alignment horizontal="center" vertical="center"/>
      <protection/>
    </xf>
    <xf numFmtId="0" fontId="71" fillId="0" borderId="13" xfId="580" applyFont="1" applyFill="1" applyBorder="1" applyAlignment="1">
      <alignment horizontal="center" vertical="center"/>
      <protection/>
    </xf>
    <xf numFmtId="0" fontId="74" fillId="0" borderId="0" xfId="580" applyNumberFormat="1" applyFont="1" applyFill="1" applyBorder="1" applyAlignment="1">
      <alignment horizontal="center" vertical="center"/>
      <protection/>
    </xf>
    <xf numFmtId="49" fontId="74" fillId="0" borderId="0" xfId="580" applyNumberFormat="1" applyFont="1" applyFill="1" applyBorder="1" applyAlignment="1">
      <alignment horizontal="center" vertical="center"/>
      <protection/>
    </xf>
    <xf numFmtId="4" fontId="69" fillId="0" borderId="0" xfId="580" applyNumberFormat="1" applyFont="1" applyFill="1" applyBorder="1">
      <alignment/>
      <protection/>
    </xf>
    <xf numFmtId="0" fontId="69" fillId="0" borderId="13" xfId="580" applyFont="1" applyFill="1" applyBorder="1" applyAlignment="1">
      <alignment vertical="center"/>
      <protection/>
    </xf>
    <xf numFmtId="0" fontId="7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71" fontId="3" fillId="0" borderId="13" xfId="0" applyNumberFormat="1" applyFont="1" applyBorder="1" applyAlignment="1">
      <alignment vertical="center"/>
    </xf>
    <xf numFmtId="0" fontId="3" fillId="0" borderId="31" xfId="0" applyFont="1" applyBorder="1" applyAlignment="1">
      <alignment horizontal="left" vertical="center" wrapText="1" indent="1"/>
    </xf>
    <xf numFmtId="0" fontId="2" fillId="106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1" fontId="2" fillId="0" borderId="13" xfId="0" applyNumberFormat="1" applyFont="1" applyBorder="1" applyAlignment="1">
      <alignment vertical="center"/>
    </xf>
    <xf numFmtId="4" fontId="122" fillId="0" borderId="13" xfId="0" applyNumberFormat="1" applyFont="1" applyBorder="1" applyAlignment="1">
      <alignment horizontal="center" vertical="center"/>
    </xf>
    <xf numFmtId="4" fontId="123" fillId="0" borderId="13" xfId="0" applyNumberFormat="1" applyFont="1" applyBorder="1" applyAlignment="1">
      <alignment horizontal="center" vertical="center"/>
    </xf>
    <xf numFmtId="171" fontId="3" fillId="0" borderId="13" xfId="0" applyNumberFormat="1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 wrapText="1"/>
    </xf>
    <xf numFmtId="171" fontId="2" fillId="0" borderId="13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171" fontId="8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vertical="center"/>
    </xf>
    <xf numFmtId="0" fontId="117" fillId="0" borderId="13" xfId="0" applyFont="1" applyBorder="1" applyAlignment="1">
      <alignment horizontal="left" vertical="center" wrapText="1"/>
    </xf>
    <xf numFmtId="171" fontId="93" fillId="0" borderId="0" xfId="0" applyNumberFormat="1" applyFont="1" applyAlignment="1">
      <alignment/>
    </xf>
    <xf numFmtId="0" fontId="2" fillId="0" borderId="31" xfId="0" applyFont="1" applyBorder="1" applyAlignment="1">
      <alignment horizontal="center" vertical="center" wrapText="1"/>
    </xf>
    <xf numFmtId="171" fontId="3" fillId="0" borderId="13" xfId="0" applyNumberFormat="1" applyFont="1" applyBorder="1" applyAlignment="1">
      <alignment vertical="center" wrapText="1"/>
    </xf>
    <xf numFmtId="0" fontId="78" fillId="0" borderId="0" xfId="0" applyFont="1" applyAlignment="1">
      <alignment/>
    </xf>
    <xf numFmtId="0" fontId="3" fillId="0" borderId="0" xfId="0" applyFont="1" applyAlignment="1">
      <alignment horizontal="right"/>
    </xf>
    <xf numFmtId="0" fontId="81" fillId="0" borderId="13" xfId="0" applyFont="1" applyBorder="1" applyAlignment="1">
      <alignment horizontal="center" vertical="center"/>
    </xf>
    <xf numFmtId="171" fontId="78" fillId="0" borderId="13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 indent="1"/>
    </xf>
    <xf numFmtId="0" fontId="78" fillId="0" borderId="36" xfId="0" applyFont="1" applyBorder="1" applyAlignment="1">
      <alignment vertical="center"/>
    </xf>
    <xf numFmtId="0" fontId="78" fillId="0" borderId="41" xfId="0" applyFont="1" applyBorder="1" applyAlignment="1">
      <alignment vertical="center"/>
    </xf>
    <xf numFmtId="0" fontId="78" fillId="0" borderId="13" xfId="0" applyFont="1" applyBorder="1" applyAlignment="1">
      <alignment horizontal="center" vertical="center"/>
    </xf>
    <xf numFmtId="171" fontId="78" fillId="0" borderId="13" xfId="0" applyNumberFormat="1" applyFont="1" applyFill="1" applyBorder="1" applyAlignment="1">
      <alignment horizontal="center" vertical="center"/>
    </xf>
    <xf numFmtId="0" fontId="78" fillId="0" borderId="13" xfId="0" applyFont="1" applyFill="1" applyBorder="1" applyAlignment="1">
      <alignment horizontal="center" vertical="center"/>
    </xf>
    <xf numFmtId="171" fontId="78" fillId="106" borderId="13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81" fillId="0" borderId="13" xfId="0" applyFont="1" applyBorder="1" applyAlignment="1">
      <alignment horizontal="center" vertical="center" wrapText="1"/>
    </xf>
    <xf numFmtId="171" fontId="81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left" vertical="center" wrapText="1"/>
    </xf>
    <xf numFmtId="0" fontId="81" fillId="0" borderId="0" xfId="0" applyFont="1" applyBorder="1" applyAlignment="1">
      <alignment horizontal="center" vertical="center"/>
    </xf>
    <xf numFmtId="171" fontId="7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8" fillId="0" borderId="33" xfId="0" applyFont="1" applyBorder="1" applyAlignment="1">
      <alignment/>
    </xf>
    <xf numFmtId="0" fontId="3" fillId="0" borderId="13" xfId="0" applyFont="1" applyBorder="1" applyAlignment="1">
      <alignment vertical="center"/>
    </xf>
    <xf numFmtId="171" fontId="78" fillId="0" borderId="13" xfId="0" applyNumberFormat="1" applyFont="1" applyFill="1" applyBorder="1" applyAlignment="1">
      <alignment vertical="center"/>
    </xf>
    <xf numFmtId="0" fontId="78" fillId="0" borderId="34" xfId="0" applyFont="1" applyBorder="1" applyAlignment="1">
      <alignment vertical="center"/>
    </xf>
    <xf numFmtId="0" fontId="69" fillId="0" borderId="34" xfId="0" applyFont="1" applyBorder="1" applyAlignment="1">
      <alignment horizontal="center" wrapText="1"/>
    </xf>
    <xf numFmtId="0" fontId="69" fillId="0" borderId="36" xfId="0" applyFont="1" applyBorder="1" applyAlignment="1">
      <alignment horizontal="center" wrapText="1"/>
    </xf>
    <xf numFmtId="4" fontId="124" fillId="0" borderId="0" xfId="580" applyNumberFormat="1" applyFont="1" applyFill="1" applyBorder="1">
      <alignment/>
      <protection/>
    </xf>
    <xf numFmtId="4" fontId="4" fillId="106" borderId="34" xfId="0" applyNumberFormat="1" applyFont="1" applyFill="1" applyBorder="1" applyAlignment="1">
      <alignment horizontal="center" vertical="center" wrapText="1"/>
    </xf>
    <xf numFmtId="4" fontId="18" fillId="106" borderId="34" xfId="0" applyNumberFormat="1" applyFont="1" applyFill="1" applyBorder="1" applyAlignment="1">
      <alignment horizontal="center" vertical="center" wrapText="1"/>
    </xf>
    <xf numFmtId="0" fontId="124" fillId="106" borderId="0" xfId="580" applyFont="1" applyFill="1">
      <alignment/>
      <protection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11" fillId="0" borderId="13" xfId="0" applyNumberFormat="1" applyFont="1" applyBorder="1" applyAlignment="1">
      <alignment vertical="top" wrapText="1"/>
    </xf>
    <xf numFmtId="0" fontId="125" fillId="0" borderId="0" xfId="0" applyFont="1" applyAlignment="1">
      <alignment vertical="center"/>
    </xf>
    <xf numFmtId="0" fontId="111" fillId="0" borderId="0" xfId="0" applyFont="1" applyAlignment="1">
      <alignment horizontal="justify" vertical="center"/>
    </xf>
    <xf numFmtId="0" fontId="117" fillId="0" borderId="13" xfId="0" applyFont="1" applyBorder="1" applyAlignment="1">
      <alignment vertical="center" wrapText="1"/>
    </xf>
    <xf numFmtId="0" fontId="117" fillId="0" borderId="13" xfId="0" applyFont="1" applyBorder="1" applyAlignment="1">
      <alignment horizontal="center" vertical="center" wrapText="1"/>
    </xf>
    <xf numFmtId="0" fontId="121" fillId="0" borderId="13" xfId="0" applyFont="1" applyBorder="1" applyAlignment="1">
      <alignment vertical="center" wrapText="1"/>
    </xf>
    <xf numFmtId="0" fontId="121" fillId="0" borderId="13" xfId="0" applyFont="1" applyBorder="1" applyAlignment="1">
      <alignment horizontal="left" vertical="center" wrapText="1" indent="1"/>
    </xf>
    <xf numFmtId="0" fontId="126" fillId="0" borderId="13" xfId="0" applyFont="1" applyBorder="1" applyAlignment="1">
      <alignment vertical="center" wrapText="1"/>
    </xf>
    <xf numFmtId="0" fontId="117" fillId="0" borderId="0" xfId="0" applyFont="1" applyAlignment="1">
      <alignment horizontal="left" vertical="center" indent="11"/>
    </xf>
    <xf numFmtId="0" fontId="111" fillId="0" borderId="0" xfId="0" applyFont="1" applyAlignment="1">
      <alignment vertical="center"/>
    </xf>
    <xf numFmtId="2" fontId="69" fillId="0" borderId="13" xfId="580" applyNumberFormat="1" applyFont="1" applyFill="1" applyBorder="1" applyAlignment="1">
      <alignment horizontal="center"/>
      <protection/>
    </xf>
    <xf numFmtId="171" fontId="69" fillId="0" borderId="13" xfId="0" applyNumberFormat="1" applyFont="1" applyFill="1" applyBorder="1" applyAlignment="1">
      <alignment wrapText="1"/>
    </xf>
    <xf numFmtId="0" fontId="117" fillId="0" borderId="36" xfId="0" applyFont="1" applyBorder="1" applyAlignment="1">
      <alignment vertical="top" wrapText="1"/>
    </xf>
    <xf numFmtId="4" fontId="9" fillId="0" borderId="34" xfId="0" applyNumberFormat="1" applyFont="1" applyBorder="1" applyAlignment="1">
      <alignment horizontal="center" vertical="center" wrapText="1"/>
    </xf>
    <xf numFmtId="4" fontId="41" fillId="0" borderId="34" xfId="0" applyNumberFormat="1" applyFont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top" wrapText="1"/>
    </xf>
    <xf numFmtId="49" fontId="123" fillId="0" borderId="13" xfId="0" applyNumberFormat="1" applyFont="1" applyFill="1" applyBorder="1" applyAlignment="1">
      <alignment horizontal="center" vertical="center" wrapText="1"/>
    </xf>
    <xf numFmtId="0" fontId="123" fillId="0" borderId="13" xfId="0" applyFont="1" applyFill="1" applyBorder="1" applyAlignment="1">
      <alignment horizontal="center" vertical="center" wrapText="1"/>
    </xf>
    <xf numFmtId="49" fontId="73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Border="1" applyAlignment="1">
      <alignment horizontal="center" vertical="center" wrapText="1"/>
    </xf>
    <xf numFmtId="49" fontId="123" fillId="0" borderId="34" xfId="0" applyNumberFormat="1" applyFont="1" applyFill="1" applyBorder="1" applyAlignment="1">
      <alignment horizontal="center" vertical="top" wrapText="1"/>
    </xf>
    <xf numFmtId="4" fontId="41" fillId="0" borderId="34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 wrapText="1"/>
    </xf>
    <xf numFmtId="4" fontId="41" fillId="0" borderId="13" xfId="0" applyNumberFormat="1" applyFont="1" applyBorder="1" applyAlignment="1">
      <alignment horizontal="center" vertical="center" wrapText="1"/>
    </xf>
    <xf numFmtId="49" fontId="123" fillId="0" borderId="13" xfId="0" applyNumberFormat="1" applyFont="1" applyFill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123" fillId="0" borderId="34" xfId="0" applyFont="1" applyFill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 wrapText="1"/>
    </xf>
    <xf numFmtId="0" fontId="123" fillId="0" borderId="13" xfId="0" applyFont="1" applyBorder="1" applyAlignment="1">
      <alignment horizontal="center" vertical="center"/>
    </xf>
    <xf numFmtId="0" fontId="123" fillId="0" borderId="31" xfId="0" applyFont="1" applyFill="1" applyBorder="1" applyAlignment="1">
      <alignment horizontal="center" vertical="top" wrapText="1"/>
    </xf>
    <xf numFmtId="0" fontId="123" fillId="0" borderId="30" xfId="0" applyFont="1" applyFill="1" applyBorder="1" applyAlignment="1">
      <alignment horizontal="center" vertical="center" wrapText="1"/>
    </xf>
    <xf numFmtId="0" fontId="123" fillId="0" borderId="32" xfId="0" applyFont="1" applyFill="1" applyBorder="1" applyAlignment="1">
      <alignment horizontal="center" vertical="center" wrapText="1"/>
    </xf>
    <xf numFmtId="171" fontId="4" fillId="0" borderId="13" xfId="1089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49" fontId="123" fillId="0" borderId="34" xfId="0" applyNumberFormat="1" applyFont="1" applyBorder="1" applyAlignment="1">
      <alignment horizontal="center" vertical="center"/>
    </xf>
    <xf numFmtId="171" fontId="81" fillId="0" borderId="13" xfId="0" applyNumberFormat="1" applyFont="1" applyFill="1" applyBorder="1" applyAlignment="1">
      <alignment horizontal="center" vertical="center"/>
    </xf>
    <xf numFmtId="0" fontId="111" fillId="0" borderId="0" xfId="606" applyFont="1" applyFill="1" applyBorder="1" applyAlignment="1">
      <alignment horizontal="left" vertical="top" wrapText="1"/>
      <protection/>
    </xf>
    <xf numFmtId="0" fontId="69" fillId="0" borderId="36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0" fontId="71" fillId="0" borderId="0" xfId="580" applyFont="1" applyFill="1" applyBorder="1" applyAlignment="1">
      <alignment horizontal="center"/>
      <protection/>
    </xf>
    <xf numFmtId="0" fontId="111" fillId="0" borderId="0" xfId="580" applyFont="1" applyFill="1" applyBorder="1" applyAlignment="1">
      <alignment horizontal="center" vertical="center"/>
      <protection/>
    </xf>
    <xf numFmtId="4" fontId="122" fillId="0" borderId="13" xfId="0" applyNumberFormat="1" applyFont="1" applyBorder="1" applyAlignment="1">
      <alignment horizontal="center" vertical="center" wrapText="1"/>
    </xf>
    <xf numFmtId="0" fontId="117" fillId="0" borderId="36" xfId="0" applyFont="1" applyBorder="1" applyAlignment="1">
      <alignment horizontal="left" vertical="center" wrapText="1"/>
    </xf>
    <xf numFmtId="0" fontId="123" fillId="0" borderId="34" xfId="0" applyFont="1" applyFill="1" applyBorder="1" applyAlignment="1">
      <alignment horizontal="center" vertical="top" wrapText="1"/>
    </xf>
    <xf numFmtId="4" fontId="67" fillId="0" borderId="13" xfId="580" applyNumberFormat="1" applyFont="1" applyFill="1" applyBorder="1" applyAlignment="1">
      <alignment horizontal="center" vertical="center"/>
      <protection/>
    </xf>
    <xf numFmtId="0" fontId="113" fillId="0" borderId="13" xfId="606" applyFont="1" applyFill="1" applyBorder="1" applyAlignment="1">
      <alignment horizontal="center" wrapText="1"/>
      <protection/>
    </xf>
    <xf numFmtId="4" fontId="82" fillId="0" borderId="13" xfId="580" applyNumberFormat="1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vertical="center" wrapText="1"/>
      <protection/>
    </xf>
    <xf numFmtId="4" fontId="69" fillId="0" borderId="13" xfId="580" applyNumberFormat="1" applyFont="1" applyFill="1" applyBorder="1" applyAlignment="1">
      <alignment vertical="center"/>
      <protection/>
    </xf>
    <xf numFmtId="4" fontId="82" fillId="0" borderId="13" xfId="580" applyNumberFormat="1" applyFont="1" applyFill="1" applyBorder="1" applyAlignment="1">
      <alignment horizontal="center"/>
      <protection/>
    </xf>
    <xf numFmtId="4" fontId="69" fillId="0" borderId="36" xfId="580" applyNumberFormat="1" applyFont="1" applyFill="1" applyBorder="1" applyAlignment="1">
      <alignment horizontal="center" vertical="center"/>
      <protection/>
    </xf>
    <xf numFmtId="4" fontId="82" fillId="0" borderId="36" xfId="580" applyNumberFormat="1" applyFont="1" applyFill="1" applyBorder="1" applyAlignment="1">
      <alignment horizontal="center" vertical="center"/>
      <protection/>
    </xf>
    <xf numFmtId="49" fontId="71" fillId="0" borderId="0" xfId="580" applyNumberFormat="1" applyFont="1" applyFill="1" applyBorder="1" applyAlignment="1">
      <alignment horizontal="left"/>
      <protection/>
    </xf>
    <xf numFmtId="0" fontId="74" fillId="0" borderId="0" xfId="580" applyNumberFormat="1" applyFont="1" applyFill="1" applyBorder="1" applyAlignment="1">
      <alignment horizontal="center"/>
      <protection/>
    </xf>
    <xf numFmtId="171" fontId="70" fillId="0" borderId="0" xfId="580" applyNumberFormat="1" applyFont="1" applyFill="1" applyBorder="1" applyAlignment="1">
      <alignment horizontal="center"/>
      <protection/>
    </xf>
    <xf numFmtId="0" fontId="67" fillId="0" borderId="39" xfId="580" applyNumberFormat="1" applyFont="1" applyFill="1" applyBorder="1" applyAlignment="1">
      <alignment horizontal="left" vertical="center" wrapText="1"/>
      <protection/>
    </xf>
    <xf numFmtId="0" fontId="67" fillId="0" borderId="39" xfId="580" applyNumberFormat="1" applyFont="1" applyFill="1" applyBorder="1" applyAlignment="1">
      <alignment horizontal="center" vertical="center"/>
      <protection/>
    </xf>
    <xf numFmtId="0" fontId="71" fillId="0" borderId="0" xfId="580" applyFont="1" applyFill="1" applyBorder="1" applyAlignment="1">
      <alignment horizontal="left"/>
      <protection/>
    </xf>
    <xf numFmtId="171" fontId="71" fillId="0" borderId="0" xfId="580" applyNumberFormat="1" applyFont="1" applyFill="1" applyBorder="1" applyAlignment="1">
      <alignment horizontal="center"/>
      <protection/>
    </xf>
    <xf numFmtId="171" fontId="71" fillId="0" borderId="0" xfId="580" applyNumberFormat="1" applyFont="1" applyFill="1" applyBorder="1">
      <alignment/>
      <protection/>
    </xf>
    <xf numFmtId="0" fontId="67" fillId="0" borderId="36" xfId="580" applyNumberFormat="1" applyFont="1" applyFill="1" applyBorder="1" applyAlignment="1">
      <alignment vertical="center"/>
      <protection/>
    </xf>
    <xf numFmtId="0" fontId="69" fillId="0" borderId="13" xfId="580" applyFont="1" applyFill="1" applyBorder="1" applyAlignment="1">
      <alignment horizontal="left" vertical="center" wrapText="1"/>
      <protection/>
    </xf>
    <xf numFmtId="0" fontId="70" fillId="0" borderId="13" xfId="580" applyFont="1" applyFill="1" applyBorder="1" applyAlignment="1">
      <alignment horizontal="center" vertical="center"/>
      <protection/>
    </xf>
    <xf numFmtId="0" fontId="70" fillId="0" borderId="36" xfId="580" applyFont="1" applyFill="1" applyBorder="1" applyAlignment="1">
      <alignment horizontal="center" vertical="center"/>
      <protection/>
    </xf>
    <xf numFmtId="4" fontId="74" fillId="0" borderId="13" xfId="580" applyNumberFormat="1" applyFont="1" applyFill="1" applyBorder="1" applyAlignment="1">
      <alignment horizontal="center" vertical="center"/>
      <protection/>
    </xf>
    <xf numFmtId="4" fontId="71" fillId="0" borderId="0" xfId="580" applyNumberFormat="1" applyFont="1" applyFill="1" applyBorder="1" applyAlignment="1">
      <alignment horizontal="center"/>
      <protection/>
    </xf>
    <xf numFmtId="4" fontId="127" fillId="0" borderId="0" xfId="580" applyNumberFormat="1" applyFont="1" applyFill="1" applyBorder="1" applyAlignment="1">
      <alignment horizontal="center" vertical="center"/>
      <protection/>
    </xf>
    <xf numFmtId="0" fontId="128" fillId="0" borderId="0" xfId="580" applyFont="1" applyFill="1" applyBorder="1">
      <alignment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41" xfId="580" applyFont="1" applyFill="1" applyBorder="1" applyAlignment="1">
      <alignment horizontal="center"/>
      <protection/>
    </xf>
    <xf numFmtId="0" fontId="0" fillId="0" borderId="34" xfId="0" applyBorder="1" applyAlignment="1">
      <alignment horizontal="center" vertical="center"/>
    </xf>
    <xf numFmtId="0" fontId="69" fillId="0" borderId="34" xfId="580" applyFont="1" applyFill="1" applyBorder="1" applyAlignment="1">
      <alignment horizontal="left" vertical="top"/>
      <protection/>
    </xf>
    <xf numFmtId="0" fontId="69" fillId="0" borderId="41" xfId="580" applyFont="1" applyFill="1" applyBorder="1" applyAlignment="1">
      <alignment horizontal="center" vertical="center"/>
      <protection/>
    </xf>
    <xf numFmtId="0" fontId="67" fillId="0" borderId="39" xfId="580" applyFont="1" applyFill="1" applyBorder="1" applyAlignment="1">
      <alignment horizontal="center"/>
      <protection/>
    </xf>
    <xf numFmtId="0" fontId="69" fillId="0" borderId="34" xfId="0" applyFont="1" applyBorder="1" applyAlignment="1">
      <alignment horizontal="center" vertical="center" wrapText="1"/>
    </xf>
    <xf numFmtId="0" fontId="69" fillId="0" borderId="41" xfId="580" applyFont="1" applyFill="1" applyBorder="1" applyAlignment="1">
      <alignment horizontal="left" vertical="top"/>
      <protection/>
    </xf>
    <xf numFmtId="176" fontId="71" fillId="0" borderId="13" xfId="1068" applyNumberFormat="1" applyFont="1" applyFill="1" applyBorder="1" applyAlignment="1">
      <alignment horizontal="center"/>
    </xf>
    <xf numFmtId="171" fontId="71" fillId="0" borderId="13" xfId="0" applyNumberFormat="1" applyFont="1" applyBorder="1" applyAlignment="1">
      <alignment horizontal="center"/>
    </xf>
    <xf numFmtId="171" fontId="71" fillId="0" borderId="13" xfId="0" applyNumberFormat="1" applyFont="1" applyBorder="1" applyAlignment="1">
      <alignment horizontal="center" vertical="center"/>
    </xf>
    <xf numFmtId="0" fontId="69" fillId="0" borderId="41" xfId="0" applyFont="1" applyBorder="1" applyAlignment="1">
      <alignment horizontal="center" vertical="center"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1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43" fontId="69" fillId="0" borderId="0" xfId="580" applyNumberFormat="1" applyFont="1" applyFill="1" applyBorder="1">
      <alignment/>
      <protection/>
    </xf>
    <xf numFmtId="43" fontId="69" fillId="0" borderId="0" xfId="580" applyNumberFormat="1" applyFont="1" applyFill="1" applyBorder="1" applyAlignment="1">
      <alignment horizontal="center"/>
      <protection/>
    </xf>
    <xf numFmtId="49" fontId="117" fillId="0" borderId="34" xfId="0" applyNumberFormat="1" applyFont="1" applyBorder="1" applyAlignment="1">
      <alignment horizontal="center" vertical="center" wrapText="1"/>
    </xf>
    <xf numFmtId="49" fontId="117" fillId="0" borderId="34" xfId="0" applyNumberFormat="1" applyFont="1" applyBorder="1" applyAlignment="1">
      <alignment horizontal="center" vertical="center"/>
    </xf>
    <xf numFmtId="0" fontId="67" fillId="0" borderId="41" xfId="580" applyNumberFormat="1" applyFont="1" applyFill="1" applyBorder="1" applyAlignment="1">
      <alignment horizontal="center" wrapText="1"/>
      <protection/>
    </xf>
    <xf numFmtId="0" fontId="67" fillId="0" borderId="0" xfId="0" applyFont="1" applyFill="1" applyAlignment="1">
      <alignment horizontal="left" vertical="top" wrapText="1"/>
    </xf>
    <xf numFmtId="0" fontId="67" fillId="0" borderId="13" xfId="0" applyFont="1" applyFill="1" applyBorder="1" applyAlignment="1">
      <alignment horizontal="left" vertical="top" wrapText="1"/>
    </xf>
    <xf numFmtId="0" fontId="111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top" wrapText="1"/>
    </xf>
    <xf numFmtId="0" fontId="9" fillId="0" borderId="33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3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/>
    </xf>
    <xf numFmtId="0" fontId="4" fillId="0" borderId="42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129" fillId="0" borderId="33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193" fontId="3" fillId="0" borderId="13" xfId="0" applyNumberFormat="1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top" wrapText="1"/>
    </xf>
    <xf numFmtId="0" fontId="3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4" fontId="13" fillId="0" borderId="31" xfId="0" applyNumberFormat="1" applyFont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center" vertical="center" wrapText="1"/>
    </xf>
    <xf numFmtId="4" fontId="13" fillId="0" borderId="32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" fontId="13" fillId="0" borderId="36" xfId="0" applyNumberFormat="1" applyFont="1" applyBorder="1" applyAlignment="1">
      <alignment horizontal="center" vertical="center" wrapText="1"/>
    </xf>
    <xf numFmtId="4" fontId="13" fillId="0" borderId="41" xfId="0" applyNumberFormat="1" applyFont="1" applyBorder="1" applyAlignment="1">
      <alignment horizontal="center" vertical="center" wrapText="1"/>
    </xf>
    <xf numFmtId="4" fontId="13" fillId="0" borderId="34" xfId="0" applyNumberFormat="1" applyFont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center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34" xfId="0" applyNumberFormat="1" applyFont="1" applyFill="1" applyBorder="1" applyAlignment="1">
      <alignment horizontal="center" vertical="center" wrapText="1"/>
    </xf>
    <xf numFmtId="4" fontId="13" fillId="0" borderId="30" xfId="0" applyNumberFormat="1" applyFont="1" applyBorder="1" applyAlignment="1">
      <alignment horizontal="left" vertical="center" wrapText="1"/>
    </xf>
    <xf numFmtId="4" fontId="13" fillId="0" borderId="32" xfId="0" applyNumberFormat="1" applyFont="1" applyBorder="1" applyAlignment="1">
      <alignment horizontal="left" vertical="center" wrapText="1"/>
    </xf>
    <xf numFmtId="4" fontId="13" fillId="0" borderId="31" xfId="0" applyNumberFormat="1" applyFont="1" applyBorder="1" applyAlignment="1">
      <alignment horizontal="left" vertical="center" wrapText="1"/>
    </xf>
    <xf numFmtId="4" fontId="13" fillId="107" borderId="30" xfId="0" applyNumberFormat="1" applyFont="1" applyFill="1" applyBorder="1" applyAlignment="1">
      <alignment horizontal="center" vertical="center" wrapText="1"/>
    </xf>
    <xf numFmtId="4" fontId="13" fillId="107" borderId="32" xfId="0" applyNumberFormat="1" applyFont="1" applyFill="1" applyBorder="1" applyAlignment="1">
      <alignment horizontal="center" vertical="center" wrapText="1"/>
    </xf>
    <xf numFmtId="4" fontId="13" fillId="107" borderId="31" xfId="0" applyNumberFormat="1" applyFont="1" applyFill="1" applyBorder="1" applyAlignment="1">
      <alignment horizontal="center" vertical="center" wrapText="1"/>
    </xf>
    <xf numFmtId="4" fontId="13" fillId="103" borderId="30" xfId="0" applyNumberFormat="1" applyFont="1" applyFill="1" applyBorder="1" applyAlignment="1">
      <alignment horizontal="center" vertical="center" wrapText="1"/>
    </xf>
    <xf numFmtId="4" fontId="13" fillId="103" borderId="32" xfId="0" applyNumberFormat="1" applyFont="1" applyFill="1" applyBorder="1" applyAlignment="1">
      <alignment horizontal="center" vertical="center" wrapText="1"/>
    </xf>
    <xf numFmtId="4" fontId="13" fillId="103" borderId="3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4" fontId="19" fillId="0" borderId="30" xfId="0" applyNumberFormat="1" applyFont="1" applyFill="1" applyBorder="1" applyAlignment="1">
      <alignment horizontal="center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14" fontId="7" fillId="0" borderId="0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>
      <alignment horizontal="center" vertical="center" wrapText="1"/>
    </xf>
    <xf numFmtId="4" fontId="13" fillId="0" borderId="31" xfId="0" applyNumberFormat="1" applyFont="1" applyFill="1" applyBorder="1" applyAlignment="1">
      <alignment horizontal="center" vertical="center" wrapText="1"/>
    </xf>
    <xf numFmtId="0" fontId="111" fillId="0" borderId="0" xfId="0" applyFont="1" applyAlignment="1">
      <alignment horizontal="left" wrapText="1"/>
    </xf>
    <xf numFmtId="4" fontId="111" fillId="0" borderId="13" xfId="0" applyNumberFormat="1" applyFont="1" applyBorder="1" applyAlignment="1">
      <alignment vertical="top" wrapText="1"/>
    </xf>
    <xf numFmtId="4" fontId="111" fillId="0" borderId="13" xfId="0" applyNumberFormat="1" applyFont="1" applyBorder="1" applyAlignment="1">
      <alignment wrapText="1"/>
    </xf>
    <xf numFmtId="0" fontId="111" fillId="0" borderId="13" xfId="0" applyFont="1" applyBorder="1" applyAlignment="1">
      <alignment vertical="top" wrapText="1"/>
    </xf>
    <xf numFmtId="0" fontId="111" fillId="0" borderId="13" xfId="0" applyFont="1" applyBorder="1" applyAlignment="1">
      <alignment horizontal="center" wrapText="1"/>
    </xf>
    <xf numFmtId="4" fontId="111" fillId="0" borderId="13" xfId="0" applyNumberFormat="1" applyFont="1" applyFill="1" applyBorder="1" applyAlignment="1">
      <alignment wrapText="1"/>
    </xf>
    <xf numFmtId="0" fontId="111" fillId="0" borderId="13" xfId="0" applyFont="1" applyBorder="1" applyAlignment="1">
      <alignment horizontal="center" vertical="top" wrapText="1"/>
    </xf>
    <xf numFmtId="0" fontId="111" fillId="0" borderId="31" xfId="0" applyFont="1" applyBorder="1" applyAlignment="1">
      <alignment vertical="top" wrapText="1"/>
    </xf>
    <xf numFmtId="49" fontId="111" fillId="0" borderId="34" xfId="0" applyNumberFormat="1" applyFont="1" applyBorder="1" applyAlignment="1">
      <alignment horizontal="center" wrapText="1"/>
    </xf>
    <xf numFmtId="0" fontId="111" fillId="0" borderId="35" xfId="0" applyFont="1" applyBorder="1" applyAlignment="1">
      <alignment horizontal="center" vertical="top" wrapText="1"/>
    </xf>
    <xf numFmtId="0" fontId="111" fillId="0" borderId="42" xfId="0" applyFont="1" applyBorder="1" applyAlignment="1">
      <alignment horizontal="center" vertical="top" wrapText="1"/>
    </xf>
    <xf numFmtId="0" fontId="111" fillId="0" borderId="43" xfId="0" applyFont="1" applyBorder="1" applyAlignment="1">
      <alignment horizontal="center" vertical="top" wrapText="1"/>
    </xf>
    <xf numFmtId="0" fontId="111" fillId="0" borderId="39" xfId="0" applyFont="1" applyBorder="1" applyAlignment="1">
      <alignment horizontal="center" vertical="top" wrapText="1"/>
    </xf>
    <xf numFmtId="0" fontId="111" fillId="0" borderId="33" xfId="0" applyFont="1" applyBorder="1" applyAlignment="1">
      <alignment horizontal="center" vertical="top" wrapText="1"/>
    </xf>
    <xf numFmtId="0" fontId="111" fillId="0" borderId="38" xfId="0" applyFont="1" applyBorder="1" applyAlignment="1">
      <alignment horizontal="center" vertical="top" wrapText="1"/>
    </xf>
    <xf numFmtId="0" fontId="130" fillId="0" borderId="0" xfId="0" applyFont="1" applyAlignment="1">
      <alignment horizontal="left" wrapText="1"/>
    </xf>
    <xf numFmtId="49" fontId="111" fillId="0" borderId="13" xfId="0" applyNumberFormat="1" applyFont="1" applyBorder="1" applyAlignment="1">
      <alignment horizontal="center" vertical="top" wrapText="1"/>
    </xf>
    <xf numFmtId="2" fontId="111" fillId="0" borderId="13" xfId="0" applyNumberFormat="1" applyFont="1" applyBorder="1" applyAlignment="1">
      <alignment vertical="top" wrapText="1"/>
    </xf>
    <xf numFmtId="0" fontId="69" fillId="0" borderId="36" xfId="580" applyFont="1" applyFill="1" applyBorder="1" applyAlignment="1">
      <alignment horizontal="left"/>
      <protection/>
    </xf>
    <xf numFmtId="0" fontId="69" fillId="0" borderId="41" xfId="580" applyFont="1" applyFill="1" applyBorder="1" applyAlignment="1">
      <alignment horizontal="left"/>
      <protection/>
    </xf>
    <xf numFmtId="0" fontId="69" fillId="0" borderId="34" xfId="580" applyFont="1" applyFill="1" applyBorder="1" applyAlignment="1">
      <alignment horizontal="left"/>
      <protection/>
    </xf>
    <xf numFmtId="0" fontId="69" fillId="0" borderId="13" xfId="580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center"/>
      <protection/>
    </xf>
    <xf numFmtId="0" fontId="69" fillId="0" borderId="34" xfId="580" applyFont="1" applyFill="1" applyBorder="1" applyAlignment="1">
      <alignment horizontal="center" vertical="center"/>
      <protection/>
    </xf>
    <xf numFmtId="0" fontId="69" fillId="0" borderId="36" xfId="0" applyFont="1" applyBorder="1" applyAlignment="1">
      <alignment horizontal="center" vertical="center"/>
    </xf>
    <xf numFmtId="0" fontId="69" fillId="0" borderId="34" xfId="0" applyFont="1" applyBorder="1" applyAlignment="1">
      <alignment horizontal="center" vertical="center"/>
    </xf>
    <xf numFmtId="0" fontId="69" fillId="0" borderId="36" xfId="580" applyFont="1" applyFill="1" applyBorder="1" applyAlignment="1">
      <alignment horizontal="left" wrapText="1"/>
      <protection/>
    </xf>
    <xf numFmtId="0" fontId="69" fillId="0" borderId="34" xfId="580" applyFont="1" applyFill="1" applyBorder="1" applyAlignment="1">
      <alignment horizontal="left" wrapText="1"/>
      <protection/>
    </xf>
    <xf numFmtId="0" fontId="69" fillId="0" borderId="36" xfId="0" applyFont="1" applyBorder="1" applyAlignment="1">
      <alignment horizontal="center"/>
    </xf>
    <xf numFmtId="0" fontId="69" fillId="0" borderId="34" xfId="0" applyFont="1" applyBorder="1" applyAlignment="1">
      <alignment horizontal="center"/>
    </xf>
    <xf numFmtId="0" fontId="71" fillId="0" borderId="13" xfId="580" applyFont="1" applyBorder="1" applyAlignment="1">
      <alignment horizontal="left" vertical="center"/>
      <protection/>
    </xf>
    <xf numFmtId="0" fontId="71" fillId="0" borderId="36" xfId="580" applyFont="1" applyBorder="1" applyAlignment="1">
      <alignment horizontal="left" vertical="center"/>
      <protection/>
    </xf>
    <xf numFmtId="0" fontId="71" fillId="0" borderId="41" xfId="580" applyFont="1" applyBorder="1" applyAlignment="1">
      <alignment horizontal="left" vertical="center"/>
      <protection/>
    </xf>
    <xf numFmtId="0" fontId="71" fillId="0" borderId="34" xfId="580" applyFont="1" applyBorder="1" applyAlignment="1">
      <alignment horizontal="left" vertical="center"/>
      <protection/>
    </xf>
    <xf numFmtId="0" fontId="111" fillId="0" borderId="0" xfId="580" applyFont="1" applyFill="1" applyBorder="1" applyAlignment="1">
      <alignment horizontal="center" vertical="center"/>
      <protection/>
    </xf>
    <xf numFmtId="0" fontId="69" fillId="0" borderId="36" xfId="580" applyFont="1" applyFill="1" applyBorder="1" applyAlignment="1">
      <alignment horizontal="center"/>
      <protection/>
    </xf>
    <xf numFmtId="0" fontId="69" fillId="0" borderId="34" xfId="580" applyFont="1" applyFill="1" applyBorder="1" applyAlignment="1">
      <alignment horizontal="center"/>
      <protection/>
    </xf>
    <xf numFmtId="0" fontId="69" fillId="0" borderId="13" xfId="580" applyFont="1" applyBorder="1" applyAlignment="1">
      <alignment horizontal="center" vertical="top"/>
      <protection/>
    </xf>
    <xf numFmtId="0" fontId="69" fillId="0" borderId="0" xfId="580" applyFont="1" applyFill="1" applyAlignment="1">
      <alignment horizontal="justify" vertical="center" wrapText="1"/>
      <protection/>
    </xf>
    <xf numFmtId="0" fontId="69" fillId="0" borderId="35" xfId="580" applyFont="1" applyFill="1" applyBorder="1" applyAlignment="1">
      <alignment horizontal="center" vertical="top"/>
      <protection/>
    </xf>
    <xf numFmtId="0" fontId="69" fillId="0" borderId="39" xfId="580" applyFont="1" applyFill="1" applyBorder="1" applyAlignment="1">
      <alignment horizontal="center" vertical="top"/>
      <protection/>
    </xf>
    <xf numFmtId="0" fontId="69" fillId="0" borderId="43" xfId="580" applyFont="1" applyFill="1" applyBorder="1" applyAlignment="1">
      <alignment horizontal="center" vertical="top"/>
      <protection/>
    </xf>
    <xf numFmtId="0" fontId="69" fillId="0" borderId="38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/>
      <protection/>
    </xf>
    <xf numFmtId="0" fontId="69" fillId="0" borderId="31" xfId="580" applyFont="1" applyFill="1" applyBorder="1" applyAlignment="1">
      <alignment horizontal="center" vertical="top"/>
      <protection/>
    </xf>
    <xf numFmtId="0" fontId="69" fillId="0" borderId="30" xfId="580" applyFont="1" applyFill="1" applyBorder="1" applyAlignment="1">
      <alignment horizontal="center" vertical="top" wrapText="1"/>
      <protection/>
    </xf>
    <xf numFmtId="0" fontId="69" fillId="0" borderId="31" xfId="580" applyFont="1" applyFill="1" applyBorder="1" applyAlignment="1">
      <alignment horizontal="center" vertical="top" wrapText="1"/>
      <protection/>
    </xf>
    <xf numFmtId="0" fontId="71" fillId="0" borderId="36" xfId="580" applyFont="1" applyFill="1" applyBorder="1" applyAlignment="1">
      <alignment horizontal="left"/>
      <protection/>
    </xf>
    <xf numFmtId="0" fontId="71" fillId="0" borderId="41" xfId="580" applyFont="1" applyFill="1" applyBorder="1" applyAlignment="1">
      <alignment horizontal="left"/>
      <protection/>
    </xf>
    <xf numFmtId="0" fontId="71" fillId="0" borderId="34" xfId="580" applyFont="1" applyFill="1" applyBorder="1" applyAlignment="1">
      <alignment horizontal="left"/>
      <protection/>
    </xf>
    <xf numFmtId="0" fontId="69" fillId="0" borderId="13" xfId="0" applyFont="1" applyBorder="1" applyAlignment="1">
      <alignment horizontal="center"/>
    </xf>
    <xf numFmtId="0" fontId="69" fillId="0" borderId="0" xfId="580" applyFont="1" applyFill="1" applyBorder="1" applyAlignment="1">
      <alignment horizontal="justify" vertical="center" wrapText="1"/>
      <protection/>
    </xf>
    <xf numFmtId="49" fontId="69" fillId="0" borderId="36" xfId="580" applyNumberFormat="1" applyFont="1" applyFill="1" applyBorder="1" applyAlignment="1">
      <alignment horizontal="left"/>
      <protection/>
    </xf>
    <xf numFmtId="49" fontId="69" fillId="0" borderId="34" xfId="580" applyNumberFormat="1" applyFont="1" applyFill="1" applyBorder="1" applyAlignment="1">
      <alignment horizontal="left"/>
      <protection/>
    </xf>
    <xf numFmtId="0" fontId="69" fillId="0" borderId="13" xfId="580" applyNumberFormat="1" applyFont="1" applyFill="1" applyBorder="1" applyAlignment="1">
      <alignment horizontal="center" vertical="center" wrapText="1"/>
      <protection/>
    </xf>
    <xf numFmtId="0" fontId="69" fillId="0" borderId="41" xfId="580" applyFont="1" applyFill="1" applyBorder="1" applyAlignment="1">
      <alignment horizontal="center"/>
      <protection/>
    </xf>
    <xf numFmtId="49" fontId="71" fillId="0" borderId="36" xfId="580" applyNumberFormat="1" applyFont="1" applyFill="1" applyBorder="1" applyAlignment="1">
      <alignment horizontal="left"/>
      <protection/>
    </xf>
    <xf numFmtId="49" fontId="71" fillId="0" borderId="34" xfId="580" applyNumberFormat="1" applyFont="1" applyFill="1" applyBorder="1" applyAlignment="1">
      <alignment horizontal="left"/>
      <protection/>
    </xf>
    <xf numFmtId="0" fontId="69" fillId="0" borderId="0" xfId="580" applyFont="1" applyFill="1" applyBorder="1" applyAlignment="1">
      <alignment horizontal="justify" wrapText="1"/>
      <protection/>
    </xf>
    <xf numFmtId="49" fontId="69" fillId="0" borderId="36" xfId="580" applyNumberFormat="1" applyFont="1" applyFill="1" applyBorder="1" applyAlignment="1">
      <alignment horizontal="left" vertical="center"/>
      <protection/>
    </xf>
    <xf numFmtId="49" fontId="69" fillId="0" borderId="34" xfId="580" applyNumberFormat="1" applyFont="1" applyFill="1" applyBorder="1" applyAlignment="1">
      <alignment horizontal="left" vertical="center"/>
      <protection/>
    </xf>
    <xf numFmtId="0" fontId="69" fillId="0" borderId="0" xfId="580" applyFont="1" applyFill="1" applyBorder="1" applyAlignment="1">
      <alignment horizontal="justify" vertical="center"/>
      <protection/>
    </xf>
    <xf numFmtId="49" fontId="67" fillId="0" borderId="36" xfId="580" applyNumberFormat="1" applyFont="1" applyFill="1" applyBorder="1" applyAlignment="1">
      <alignment horizontal="left" vertical="center"/>
      <protection/>
    </xf>
    <xf numFmtId="49" fontId="67" fillId="0" borderId="34" xfId="580" applyNumberFormat="1" applyFont="1" applyFill="1" applyBorder="1" applyAlignment="1">
      <alignment horizontal="left" vertical="center"/>
      <protection/>
    </xf>
    <xf numFmtId="0" fontId="71" fillId="0" borderId="0" xfId="580" applyFont="1" applyFill="1" applyBorder="1" applyAlignment="1">
      <alignment horizontal="center"/>
      <protection/>
    </xf>
    <xf numFmtId="49" fontId="69" fillId="0" borderId="0" xfId="580" applyNumberFormat="1" applyFont="1" applyFill="1" applyBorder="1" applyAlignment="1">
      <alignment horizontal="justify" vertical="center" wrapText="1"/>
      <protection/>
    </xf>
    <xf numFmtId="0" fontId="71" fillId="0" borderId="0" xfId="580" applyFont="1" applyFill="1" applyAlignment="1">
      <alignment horizontal="center" wrapText="1"/>
      <protection/>
    </xf>
    <xf numFmtId="0" fontId="71" fillId="0" borderId="0" xfId="580" applyFont="1" applyFill="1" applyBorder="1" applyAlignment="1">
      <alignment horizontal="left" wrapText="1"/>
      <protection/>
    </xf>
    <xf numFmtId="0" fontId="67" fillId="0" borderId="13" xfId="580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 vertical="top"/>
      <protection/>
    </xf>
    <xf numFmtId="2" fontId="69" fillId="0" borderId="13" xfId="580" applyNumberFormat="1" applyFont="1" applyFill="1" applyBorder="1" applyAlignment="1">
      <alignment horizontal="left" vertical="top" wrapText="1"/>
      <protection/>
    </xf>
    <xf numFmtId="49" fontId="69" fillId="0" borderId="41" xfId="580" applyNumberFormat="1" applyFont="1" applyFill="1" applyBorder="1" applyAlignment="1">
      <alignment horizontal="left"/>
      <protection/>
    </xf>
    <xf numFmtId="0" fontId="71" fillId="0" borderId="0" xfId="580" applyFont="1" applyFill="1" applyAlignment="1">
      <alignment horizontal="center"/>
      <protection/>
    </xf>
    <xf numFmtId="0" fontId="69" fillId="0" borderId="36" xfId="580" applyFont="1" applyFill="1" applyBorder="1" applyAlignment="1">
      <alignment horizontal="center" vertical="center" wrapText="1"/>
      <protection/>
    </xf>
    <xf numFmtId="0" fontId="69" fillId="0" borderId="41" xfId="580" applyFont="1" applyFill="1" applyBorder="1" applyAlignment="1">
      <alignment horizontal="center" vertical="center" wrapText="1"/>
      <protection/>
    </xf>
    <xf numFmtId="0" fontId="69" fillId="0" borderId="34" xfId="580" applyFont="1" applyFill="1" applyBorder="1" applyAlignment="1">
      <alignment horizontal="center" vertical="center" wrapText="1"/>
      <protection/>
    </xf>
    <xf numFmtId="0" fontId="73" fillId="0" borderId="13" xfId="580" applyNumberFormat="1" applyFont="1" applyFill="1" applyBorder="1" applyAlignment="1">
      <alignment horizontal="center" vertical="center"/>
      <protection/>
    </xf>
    <xf numFmtId="0" fontId="67" fillId="0" borderId="13" xfId="580" applyNumberFormat="1" applyFont="1" applyFill="1" applyBorder="1" applyAlignment="1">
      <alignment horizontal="left" vertical="center" wrapText="1"/>
      <protection/>
    </xf>
    <xf numFmtId="49" fontId="71" fillId="0" borderId="36" xfId="580" applyNumberFormat="1" applyFont="1" applyFill="1" applyBorder="1" applyAlignment="1">
      <alignment horizontal="center" vertical="center"/>
      <protection/>
    </xf>
    <xf numFmtId="49" fontId="71" fillId="0" borderId="41" xfId="580" applyNumberFormat="1" applyFont="1" applyFill="1" applyBorder="1" applyAlignment="1">
      <alignment horizontal="center" vertical="center"/>
      <protection/>
    </xf>
    <xf numFmtId="49" fontId="71" fillId="0" borderId="34" xfId="580" applyNumberFormat="1" applyFont="1" applyFill="1" applyBorder="1" applyAlignment="1">
      <alignment horizontal="center" vertical="center"/>
      <protection/>
    </xf>
    <xf numFmtId="0" fontId="69" fillId="0" borderId="13" xfId="580" applyFont="1" applyFill="1" applyBorder="1" applyAlignment="1">
      <alignment horizontal="left"/>
      <protection/>
    </xf>
    <xf numFmtId="0" fontId="69" fillId="0" borderId="0" xfId="580" applyFont="1" applyFill="1" applyAlignment="1">
      <alignment horizontal="justify" wrapText="1"/>
      <protection/>
    </xf>
    <xf numFmtId="0" fontId="69" fillId="0" borderId="0" xfId="580" applyNumberFormat="1" applyFont="1" applyFill="1" applyBorder="1" applyAlignment="1">
      <alignment horizontal="left" wrapText="1"/>
      <protection/>
    </xf>
    <xf numFmtId="0" fontId="69" fillId="0" borderId="13" xfId="580" applyNumberFormat="1" applyFont="1" applyFill="1" applyBorder="1" applyAlignment="1">
      <alignment horizontal="center" vertical="top" wrapText="1"/>
      <protection/>
    </xf>
    <xf numFmtId="0" fontId="69" fillId="0" borderId="36" xfId="580" applyFont="1" applyFill="1" applyBorder="1" applyAlignment="1">
      <alignment horizontal="center" vertical="top" wrapText="1"/>
      <protection/>
    </xf>
    <xf numFmtId="0" fontId="69" fillId="0" borderId="41" xfId="580" applyFont="1" applyFill="1" applyBorder="1" applyAlignment="1">
      <alignment horizontal="center" vertical="top" wrapText="1"/>
      <protection/>
    </xf>
    <xf numFmtId="0" fontId="69" fillId="0" borderId="34" xfId="580" applyFont="1" applyFill="1" applyBorder="1" applyAlignment="1">
      <alignment horizontal="center" vertical="top" wrapText="1"/>
      <protection/>
    </xf>
    <xf numFmtId="0" fontId="67" fillId="0" borderId="36" xfId="580" applyFont="1" applyFill="1" applyBorder="1" applyAlignment="1">
      <alignment horizontal="left" vertical="top" wrapText="1"/>
      <protection/>
    </xf>
    <xf numFmtId="0" fontId="67" fillId="0" borderId="41" xfId="580" applyFont="1" applyFill="1" applyBorder="1" applyAlignment="1">
      <alignment horizontal="left" vertical="top" wrapText="1"/>
      <protection/>
    </xf>
    <xf numFmtId="0" fontId="67" fillId="0" borderId="34" xfId="580" applyFont="1" applyFill="1" applyBorder="1" applyAlignment="1">
      <alignment horizontal="left" vertical="top" wrapText="1"/>
      <protection/>
    </xf>
    <xf numFmtId="0" fontId="67" fillId="0" borderId="36" xfId="580" applyFont="1" applyFill="1" applyBorder="1" applyAlignment="1">
      <alignment horizontal="left" vertical="center" wrapText="1"/>
      <protection/>
    </xf>
    <xf numFmtId="0" fontId="67" fillId="0" borderId="41" xfId="580" applyFont="1" applyFill="1" applyBorder="1" applyAlignment="1">
      <alignment horizontal="left" vertical="center" wrapText="1"/>
      <protection/>
    </xf>
    <xf numFmtId="0" fontId="67" fillId="0" borderId="34" xfId="580" applyFont="1" applyFill="1" applyBorder="1" applyAlignment="1">
      <alignment horizontal="left" vertical="center" wrapText="1"/>
      <protection/>
    </xf>
    <xf numFmtId="0" fontId="69" fillId="0" borderId="13" xfId="580" applyFont="1" applyFill="1" applyBorder="1" applyAlignment="1">
      <alignment horizontal="center" wrapText="1"/>
      <protection/>
    </xf>
    <xf numFmtId="0" fontId="71" fillId="0" borderId="0" xfId="580" applyFont="1" applyFill="1" applyAlignment="1">
      <alignment horizontal="left" vertical="top" wrapText="1"/>
      <protection/>
    </xf>
    <xf numFmtId="0" fontId="71" fillId="0" borderId="0" xfId="580" applyFont="1" applyFill="1" applyAlignment="1">
      <alignment horizontal="left"/>
      <protection/>
    </xf>
    <xf numFmtId="0" fontId="111" fillId="0" borderId="0" xfId="606" applyFont="1" applyFill="1" applyBorder="1" applyAlignment="1">
      <alignment horizontal="left" vertical="top" wrapText="1"/>
      <protection/>
    </xf>
    <xf numFmtId="0" fontId="71" fillId="0" borderId="0" xfId="580" applyFont="1" applyFill="1" applyAlignment="1">
      <alignment horizontal="left" wrapText="1"/>
      <protection/>
    </xf>
    <xf numFmtId="0" fontId="67" fillId="0" borderId="30" xfId="580" applyNumberFormat="1" applyFont="1" applyFill="1" applyBorder="1" applyAlignment="1">
      <alignment horizontal="center" vertical="center" wrapText="1"/>
      <protection/>
    </xf>
    <xf numFmtId="0" fontId="67" fillId="0" borderId="32" xfId="580" applyNumberFormat="1" applyFont="1" applyFill="1" applyBorder="1" applyAlignment="1">
      <alignment horizontal="center" vertical="center" wrapText="1"/>
      <protection/>
    </xf>
    <xf numFmtId="0" fontId="67" fillId="0" borderId="31" xfId="580" applyNumberFormat="1" applyFont="1" applyFill="1" applyBorder="1" applyAlignment="1">
      <alignment horizontal="center" vertical="center" wrapText="1"/>
      <protection/>
    </xf>
    <xf numFmtId="0" fontId="67" fillId="0" borderId="13" xfId="580" applyFont="1" applyFill="1" applyBorder="1" applyAlignment="1">
      <alignment horizontal="center" vertical="center" wrapText="1"/>
      <protection/>
    </xf>
    <xf numFmtId="0" fontId="67" fillId="0" borderId="36" xfId="580" applyNumberFormat="1" applyFont="1" applyFill="1" applyBorder="1" applyAlignment="1">
      <alignment horizontal="center" vertical="center" wrapText="1"/>
      <protection/>
    </xf>
    <xf numFmtId="0" fontId="67" fillId="0" borderId="41" xfId="580" applyNumberFormat="1" applyFont="1" applyFill="1" applyBorder="1" applyAlignment="1">
      <alignment horizontal="center" vertical="center" wrapText="1"/>
      <protection/>
    </xf>
    <xf numFmtId="0" fontId="113" fillId="0" borderId="36" xfId="606" applyFont="1" applyFill="1" applyBorder="1" applyAlignment="1">
      <alignment horizontal="left" vertical="top" wrapText="1"/>
      <protection/>
    </xf>
    <xf numFmtId="0" fontId="113" fillId="0" borderId="34" xfId="606" applyFont="1" applyFill="1" applyBorder="1" applyAlignment="1">
      <alignment horizontal="left" vertical="top" wrapText="1"/>
      <protection/>
    </xf>
    <xf numFmtId="0" fontId="111" fillId="0" borderId="0" xfId="606" applyFont="1" applyFill="1" applyBorder="1" applyAlignment="1">
      <alignment horizontal="justify" vertical="top" wrapText="1"/>
      <protection/>
    </xf>
    <xf numFmtId="0" fontId="69" fillId="0" borderId="13" xfId="580" applyFont="1" applyFill="1" applyBorder="1" applyAlignment="1">
      <alignment horizontal="center" vertical="top"/>
      <protection/>
    </xf>
    <xf numFmtId="0" fontId="67" fillId="0" borderId="30" xfId="580" applyNumberFormat="1" applyFont="1" applyFill="1" applyBorder="1" applyAlignment="1">
      <alignment horizontal="center" vertical="top" wrapText="1"/>
      <protection/>
    </xf>
    <xf numFmtId="0" fontId="67" fillId="0" borderId="32" xfId="580" applyNumberFormat="1" applyFont="1" applyFill="1" applyBorder="1" applyAlignment="1">
      <alignment horizontal="center" vertical="top" wrapText="1"/>
      <protection/>
    </xf>
    <xf numFmtId="0" fontId="67" fillId="0" borderId="31" xfId="580" applyNumberFormat="1" applyFont="1" applyFill="1" applyBorder="1" applyAlignment="1">
      <alignment horizontal="center" vertical="top" wrapText="1"/>
      <protection/>
    </xf>
    <xf numFmtId="0" fontId="67" fillId="0" borderId="36" xfId="580" applyNumberFormat="1" applyFont="1" applyFill="1" applyBorder="1" applyAlignment="1">
      <alignment horizontal="center" vertical="top" wrapText="1"/>
      <protection/>
    </xf>
    <xf numFmtId="0" fontId="67" fillId="0" borderId="41" xfId="580" applyNumberFormat="1" applyFont="1" applyFill="1" applyBorder="1" applyAlignment="1">
      <alignment horizontal="center" vertical="top" wrapText="1"/>
      <protection/>
    </xf>
    <xf numFmtId="0" fontId="67" fillId="0" borderId="34" xfId="580" applyNumberFormat="1" applyFont="1" applyFill="1" applyBorder="1" applyAlignment="1">
      <alignment horizontal="center" vertical="top" wrapText="1"/>
      <protection/>
    </xf>
    <xf numFmtId="0" fontId="69" fillId="0" borderId="0" xfId="580" applyFont="1" applyFill="1" applyAlignment="1">
      <alignment horizontal="left"/>
      <protection/>
    </xf>
    <xf numFmtId="0" fontId="70" fillId="0" borderId="0" xfId="580" applyFont="1" applyFill="1" applyAlignment="1">
      <alignment horizontal="center" vertical="center" wrapText="1"/>
      <protection/>
    </xf>
    <xf numFmtId="0" fontId="111" fillId="0" borderId="0" xfId="606" applyFont="1" applyFill="1" applyBorder="1" applyAlignment="1">
      <alignment horizontal="center" vertical="center" wrapText="1"/>
      <protection/>
    </xf>
    <xf numFmtId="0" fontId="71" fillId="0" borderId="0" xfId="580" applyNumberFormat="1" applyFont="1" applyFill="1" applyBorder="1" applyAlignment="1">
      <alignment horizontal="center"/>
      <protection/>
    </xf>
    <xf numFmtId="0" fontId="67" fillId="0" borderId="36" xfId="580" applyNumberFormat="1" applyFont="1" applyFill="1" applyBorder="1" applyAlignment="1">
      <alignment horizontal="left" vertical="center" wrapText="1"/>
      <protection/>
    </xf>
    <xf numFmtId="0" fontId="0" fillId="0" borderId="4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9" fontId="69" fillId="0" borderId="41" xfId="580" applyNumberFormat="1" applyFont="1" applyFill="1" applyBorder="1" applyAlignment="1">
      <alignment horizontal="left" vertical="center"/>
      <protection/>
    </xf>
    <xf numFmtId="0" fontId="67" fillId="0" borderId="34" xfId="580" applyNumberFormat="1" applyFont="1" applyFill="1" applyBorder="1" applyAlignment="1">
      <alignment horizontal="center" vertical="center" wrapText="1"/>
      <protection/>
    </xf>
    <xf numFmtId="49" fontId="71" fillId="0" borderId="36" xfId="580" applyNumberFormat="1" applyFont="1" applyFill="1" applyBorder="1" applyAlignment="1">
      <alignment horizontal="left" vertical="center"/>
      <protection/>
    </xf>
    <xf numFmtId="49" fontId="71" fillId="0" borderId="41" xfId="580" applyNumberFormat="1" applyFont="1" applyFill="1" applyBorder="1" applyAlignment="1">
      <alignment horizontal="left" vertical="center"/>
      <protection/>
    </xf>
    <xf numFmtId="49" fontId="71" fillId="0" borderId="34" xfId="580" applyNumberFormat="1" applyFont="1" applyFill="1" applyBorder="1" applyAlignment="1">
      <alignment horizontal="left" vertical="center"/>
      <protection/>
    </xf>
    <xf numFmtId="0" fontId="71" fillId="0" borderId="13" xfId="580" applyFont="1" applyFill="1" applyBorder="1" applyAlignment="1">
      <alignment horizontal="left" vertical="top"/>
      <protection/>
    </xf>
    <xf numFmtId="2" fontId="71" fillId="0" borderId="13" xfId="580" applyNumberFormat="1" applyFont="1" applyFill="1" applyBorder="1" applyAlignment="1">
      <alignment horizontal="left" vertical="center" wrapText="1"/>
      <protection/>
    </xf>
    <xf numFmtId="0" fontId="0" fillId="0" borderId="34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49" fontId="70" fillId="0" borderId="36" xfId="580" applyNumberFormat="1" applyFont="1" applyFill="1" applyBorder="1" applyAlignment="1">
      <alignment horizontal="left" vertical="center"/>
      <protection/>
    </xf>
    <xf numFmtId="49" fontId="70" fillId="0" borderId="34" xfId="580" applyNumberFormat="1" applyFont="1" applyFill="1" applyBorder="1" applyAlignment="1">
      <alignment horizontal="left" vertical="center"/>
      <protection/>
    </xf>
    <xf numFmtId="2" fontId="69" fillId="0" borderId="13" xfId="580" applyNumberFormat="1" applyFont="1" applyFill="1" applyBorder="1" applyAlignment="1">
      <alignment horizontal="left" vertical="center" wrapText="1"/>
      <protection/>
    </xf>
    <xf numFmtId="0" fontId="69" fillId="0" borderId="13" xfId="58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69" fillId="0" borderId="36" xfId="580" applyFont="1" applyFill="1" applyBorder="1" applyAlignment="1">
      <alignment horizontal="left" vertical="top"/>
      <protection/>
    </xf>
    <xf numFmtId="0" fontId="69" fillId="0" borderId="34" xfId="580" applyFont="1" applyFill="1" applyBorder="1" applyAlignment="1">
      <alignment horizontal="left" vertical="top"/>
      <protection/>
    </xf>
    <xf numFmtId="0" fontId="77" fillId="0" borderId="0" xfId="0" applyFont="1" applyAlignment="1">
      <alignment horizontal="center" vertical="center"/>
    </xf>
    <xf numFmtId="0" fontId="77" fillId="0" borderId="0" xfId="0" applyFont="1" applyFill="1" applyAlignment="1">
      <alignment horizontal="center" vertical="center"/>
    </xf>
    <xf numFmtId="0" fontId="78" fillId="0" borderId="0" xfId="0" applyFont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113" fillId="0" borderId="0" xfId="0" applyFont="1" applyAlignment="1">
      <alignment horizontal="center" vertical="center" wrapText="1"/>
    </xf>
    <xf numFmtId="0" fontId="113" fillId="0" borderId="0" xfId="0" applyFont="1" applyAlignment="1">
      <alignment horizontal="center" vertical="center"/>
    </xf>
    <xf numFmtId="0" fontId="121" fillId="0" borderId="13" xfId="0" applyFont="1" applyBorder="1" applyAlignment="1">
      <alignment horizontal="center" vertical="center" wrapText="1"/>
    </xf>
  </cellXfs>
  <cellStyles count="129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- Акцент1 2" xfId="22"/>
    <cellStyle name="20% - Акцент1 2 2" xfId="23"/>
    <cellStyle name="20% - Акцент1 2 2 2" xfId="24"/>
    <cellStyle name="20% - Акцент1 2 3" xfId="25"/>
    <cellStyle name="20% - Акцент1 2 3 2" xfId="26"/>
    <cellStyle name="20% - Акцент1 2 4" xfId="27"/>
    <cellStyle name="20% - Акцент1 3" xfId="28"/>
    <cellStyle name="20% - Акцент1 3 2" xfId="29"/>
    <cellStyle name="20% — акцент2" xfId="30"/>
    <cellStyle name="20% - Акцент2 2" xfId="31"/>
    <cellStyle name="20% - Акцент2 2 2" xfId="32"/>
    <cellStyle name="20% - Акцент2 2 2 2" xfId="33"/>
    <cellStyle name="20% - Акцент2 2 3" xfId="34"/>
    <cellStyle name="20% - Акцент2 2 3 2" xfId="35"/>
    <cellStyle name="20% - Акцент2 2 4" xfId="36"/>
    <cellStyle name="20% - Акцент2 3" xfId="37"/>
    <cellStyle name="20% - Акцент2 3 2" xfId="38"/>
    <cellStyle name="20% — акцент3" xfId="39"/>
    <cellStyle name="20% - Акцент3 2" xfId="40"/>
    <cellStyle name="20% - Акцент3 2 2" xfId="41"/>
    <cellStyle name="20% - Акцент3 2 2 2" xfId="42"/>
    <cellStyle name="20% - Акцент3 2 3" xfId="43"/>
    <cellStyle name="20% - Акцент3 2 3 2" xfId="44"/>
    <cellStyle name="20% - Акцент3 2 4" xfId="45"/>
    <cellStyle name="20% - Акцент3 3" xfId="46"/>
    <cellStyle name="20% - Акцент3 3 2" xfId="47"/>
    <cellStyle name="20% — акцент4" xfId="48"/>
    <cellStyle name="20% - Акцент4 2" xfId="49"/>
    <cellStyle name="20% - Акцент4 2 2" xfId="50"/>
    <cellStyle name="20% - Акцент4 2 2 2" xfId="51"/>
    <cellStyle name="20% - Акцент4 2 3" xfId="52"/>
    <cellStyle name="20% - Акцент4 2 3 2" xfId="53"/>
    <cellStyle name="20% - Акцент4 2 4" xfId="54"/>
    <cellStyle name="20% - Акцент4 3" xfId="55"/>
    <cellStyle name="20% - Акцент4 3 2" xfId="56"/>
    <cellStyle name="20% — акцент5" xfId="57"/>
    <cellStyle name="20% - Акцент5 2" xfId="58"/>
    <cellStyle name="20% - Акцент5 2 2" xfId="59"/>
    <cellStyle name="20% - Акцент5 2 2 2" xfId="60"/>
    <cellStyle name="20% - Акцент5 2 3" xfId="61"/>
    <cellStyle name="20% - Акцент5 2 3 2" xfId="62"/>
    <cellStyle name="20% - Акцент5 2 4" xfId="63"/>
    <cellStyle name="20% - Акцент5 3" xfId="64"/>
    <cellStyle name="20% - Акцент5 3 2" xfId="65"/>
    <cellStyle name="20% — акцент6" xfId="66"/>
    <cellStyle name="20% - Акцент6 2" xfId="67"/>
    <cellStyle name="20% - Акцент6 2 2" xfId="68"/>
    <cellStyle name="20% - Акцент6 2 2 2" xfId="69"/>
    <cellStyle name="20% - Акцент6 2 3" xfId="70"/>
    <cellStyle name="20% - Акцент6 2 3 2" xfId="71"/>
    <cellStyle name="20% - Акцент6 2 4" xfId="72"/>
    <cellStyle name="20% - Акцент6 3" xfId="73"/>
    <cellStyle name="20% - Акцент6 3 2" xfId="74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81"/>
    <cellStyle name="40% - Акцент1 2" xfId="82"/>
    <cellStyle name="40% - Акцент1 2 2" xfId="83"/>
    <cellStyle name="40% - Акцент1 2 2 2" xfId="84"/>
    <cellStyle name="40% - Акцент1 2 3" xfId="85"/>
    <cellStyle name="40% - Акцент1 2 3 2" xfId="86"/>
    <cellStyle name="40% - Акцент1 2 4" xfId="87"/>
    <cellStyle name="40% - Акцент1 3" xfId="88"/>
    <cellStyle name="40% - Акцент1 3 2" xfId="89"/>
    <cellStyle name="40% — акцент2" xfId="90"/>
    <cellStyle name="40% - Акцент2 2" xfId="91"/>
    <cellStyle name="40% - Акцент2 2 2" xfId="92"/>
    <cellStyle name="40% - Акцент2 2 2 2" xfId="93"/>
    <cellStyle name="40% - Акцент2 2 3" xfId="94"/>
    <cellStyle name="40% - Акцент2 2 3 2" xfId="95"/>
    <cellStyle name="40% - Акцент2 2 4" xfId="96"/>
    <cellStyle name="40% - Акцент2 3" xfId="97"/>
    <cellStyle name="40% - Акцент2 3 2" xfId="98"/>
    <cellStyle name="40% — акцент3" xfId="99"/>
    <cellStyle name="40% - Акцент3 2" xfId="100"/>
    <cellStyle name="40% - Акцент3 2 2" xfId="101"/>
    <cellStyle name="40% - Акцент3 2 2 2" xfId="102"/>
    <cellStyle name="40% - Акцент3 2 3" xfId="103"/>
    <cellStyle name="40% - Акцент3 2 3 2" xfId="104"/>
    <cellStyle name="40% - Акцент3 2 4" xfId="105"/>
    <cellStyle name="40% - Акцент3 3" xfId="106"/>
    <cellStyle name="40% - Акцент3 3 2" xfId="107"/>
    <cellStyle name="40% — акцент4" xfId="108"/>
    <cellStyle name="40% - Акцент4 2" xfId="109"/>
    <cellStyle name="40% - Акцент4 2 2" xfId="110"/>
    <cellStyle name="40% - Акцент4 2 2 2" xfId="111"/>
    <cellStyle name="40% - Акцент4 2 3" xfId="112"/>
    <cellStyle name="40% - Акцент4 2 3 2" xfId="113"/>
    <cellStyle name="40% - Акцент4 2 4" xfId="114"/>
    <cellStyle name="40% - Акцент4 3" xfId="115"/>
    <cellStyle name="40% - Акцент4 3 2" xfId="116"/>
    <cellStyle name="40% — акцент5" xfId="117"/>
    <cellStyle name="40% - Акцент5 2" xfId="118"/>
    <cellStyle name="40% - Акцент5 2 2" xfId="119"/>
    <cellStyle name="40% - Акцент5 2 2 2" xfId="120"/>
    <cellStyle name="40% - Акцент5 2 3" xfId="121"/>
    <cellStyle name="40% - Акцент5 2 3 2" xfId="122"/>
    <cellStyle name="40% - Акцент5 2 4" xfId="123"/>
    <cellStyle name="40% - Акцент5 3" xfId="124"/>
    <cellStyle name="40% - Акцент5 3 2" xfId="125"/>
    <cellStyle name="40% — акцент6" xfId="126"/>
    <cellStyle name="40% - Акцент6 2" xfId="127"/>
    <cellStyle name="40% - Акцент6 2 2" xfId="128"/>
    <cellStyle name="40% - Акцент6 2 2 2" xfId="129"/>
    <cellStyle name="40% - Акцент6 2 3" xfId="130"/>
    <cellStyle name="40% - Акцент6 2 3 2" xfId="131"/>
    <cellStyle name="40% - Акцент6 2 4" xfId="132"/>
    <cellStyle name="40% - Акцент6 3" xfId="133"/>
    <cellStyle name="40% - Акцент6 3 2" xfId="134"/>
    <cellStyle name="60% - Accent1" xfId="135"/>
    <cellStyle name="60% - Accent2" xfId="136"/>
    <cellStyle name="60% - Accent3" xfId="137"/>
    <cellStyle name="60% - Accent4" xfId="138"/>
    <cellStyle name="60% - Accent5" xfId="139"/>
    <cellStyle name="60% - Accent6" xfId="140"/>
    <cellStyle name="60% — акцент1" xfId="141"/>
    <cellStyle name="60% - Акцент1 2" xfId="142"/>
    <cellStyle name="60% - Акцент1 2 2" xfId="143"/>
    <cellStyle name="60% - Акцент1 2 2 2" xfId="144"/>
    <cellStyle name="60% - Акцент1 2 3" xfId="145"/>
    <cellStyle name="60% - Акцент1 2 3 2" xfId="146"/>
    <cellStyle name="60% - Акцент1 2 4" xfId="147"/>
    <cellStyle name="60% - Акцент1 3" xfId="148"/>
    <cellStyle name="60% - Акцент1 3 2" xfId="149"/>
    <cellStyle name="60% — акцент2" xfId="150"/>
    <cellStyle name="60% - Акцент2 2" xfId="151"/>
    <cellStyle name="60% - Акцент2 2 2" xfId="152"/>
    <cellStyle name="60% - Акцент2 2 2 2" xfId="153"/>
    <cellStyle name="60% - Акцент2 2 3" xfId="154"/>
    <cellStyle name="60% - Акцент2 2 3 2" xfId="155"/>
    <cellStyle name="60% - Акцент2 2 4" xfId="156"/>
    <cellStyle name="60% - Акцент2 3" xfId="157"/>
    <cellStyle name="60% - Акцент2 3 2" xfId="158"/>
    <cellStyle name="60% — акцент3" xfId="159"/>
    <cellStyle name="60% - Акцент3 2" xfId="160"/>
    <cellStyle name="60% - Акцент3 2 2" xfId="161"/>
    <cellStyle name="60% - Акцент3 2 2 2" xfId="162"/>
    <cellStyle name="60% - Акцент3 2 3" xfId="163"/>
    <cellStyle name="60% - Акцент3 2 3 2" xfId="164"/>
    <cellStyle name="60% - Акцент3 2 4" xfId="165"/>
    <cellStyle name="60% - Акцент3 3" xfId="166"/>
    <cellStyle name="60% - Акцент3 3 2" xfId="167"/>
    <cellStyle name="60% — акцент4" xfId="168"/>
    <cellStyle name="60% - Акцент4 2" xfId="169"/>
    <cellStyle name="60% - Акцент4 2 2" xfId="170"/>
    <cellStyle name="60% - Акцент4 2 2 2" xfId="171"/>
    <cellStyle name="60% - Акцент4 2 3" xfId="172"/>
    <cellStyle name="60% - Акцент4 2 3 2" xfId="173"/>
    <cellStyle name="60% - Акцент4 2 4" xfId="174"/>
    <cellStyle name="60% - Акцент4 3" xfId="175"/>
    <cellStyle name="60% - Акцент4 3 2" xfId="176"/>
    <cellStyle name="60% — акцент5" xfId="177"/>
    <cellStyle name="60% - Акцент5 2" xfId="178"/>
    <cellStyle name="60% - Акцент5 2 2" xfId="179"/>
    <cellStyle name="60% - Акцент5 2 2 2" xfId="180"/>
    <cellStyle name="60% - Акцент5 2 3" xfId="181"/>
    <cellStyle name="60% - Акцент5 2 3 2" xfId="182"/>
    <cellStyle name="60% - Акцент5 2 4" xfId="183"/>
    <cellStyle name="60% - Акцент5 3" xfId="184"/>
    <cellStyle name="60% - Акцент5 3 2" xfId="185"/>
    <cellStyle name="60% — акцент6" xfId="186"/>
    <cellStyle name="60% - Акцент6 2" xfId="187"/>
    <cellStyle name="60% - Акцент6 2 2" xfId="188"/>
    <cellStyle name="60% - Акцент6 2 2 2" xfId="189"/>
    <cellStyle name="60% - Акцент6 2 3" xfId="190"/>
    <cellStyle name="60% - Акцент6 2 3 2" xfId="191"/>
    <cellStyle name="60% - Акцент6 2 4" xfId="192"/>
    <cellStyle name="60% - Акцент6 3" xfId="193"/>
    <cellStyle name="60% - Акцент6 3 2" xfId="194"/>
    <cellStyle name="Accent1" xfId="195"/>
    <cellStyle name="Accent1 - 20%" xfId="196"/>
    <cellStyle name="Accent1 - 20% 2" xfId="197"/>
    <cellStyle name="Accent1 - 40%" xfId="198"/>
    <cellStyle name="Accent1 - 40% 2" xfId="199"/>
    <cellStyle name="Accent1 - 60%" xfId="200"/>
    <cellStyle name="Accent1 - 60% 2" xfId="201"/>
    <cellStyle name="Accent2" xfId="202"/>
    <cellStyle name="Accent2 - 20%" xfId="203"/>
    <cellStyle name="Accent2 - 20% 2" xfId="204"/>
    <cellStyle name="Accent2 - 40%" xfId="205"/>
    <cellStyle name="Accent2 - 40% 2" xfId="206"/>
    <cellStyle name="Accent2 - 60%" xfId="207"/>
    <cellStyle name="Accent2 - 60% 2" xfId="208"/>
    <cellStyle name="Accent3" xfId="209"/>
    <cellStyle name="Accent3 - 20%" xfId="210"/>
    <cellStyle name="Accent3 - 20% 2" xfId="211"/>
    <cellStyle name="Accent3 - 40%" xfId="212"/>
    <cellStyle name="Accent3 - 40% 2" xfId="213"/>
    <cellStyle name="Accent3 - 60%" xfId="214"/>
    <cellStyle name="Accent3 - 60% 2" xfId="215"/>
    <cellStyle name="Accent3_Многодетные " xfId="216"/>
    <cellStyle name="Accent4" xfId="217"/>
    <cellStyle name="Accent4 - 20%" xfId="218"/>
    <cellStyle name="Accent4 - 20% 2" xfId="219"/>
    <cellStyle name="Accent4 - 40%" xfId="220"/>
    <cellStyle name="Accent4 - 40% 2" xfId="221"/>
    <cellStyle name="Accent4 - 60%" xfId="222"/>
    <cellStyle name="Accent4 - 60% 2" xfId="223"/>
    <cellStyle name="Accent4_Многодетные " xfId="224"/>
    <cellStyle name="Accent5" xfId="225"/>
    <cellStyle name="Accent5 - 20%" xfId="226"/>
    <cellStyle name="Accent5 - 20% 2" xfId="227"/>
    <cellStyle name="Accent5 - 40%" xfId="228"/>
    <cellStyle name="Accent5 - 60%" xfId="229"/>
    <cellStyle name="Accent5 - 60% 2" xfId="230"/>
    <cellStyle name="Accent5_Многодетные " xfId="231"/>
    <cellStyle name="Accent6" xfId="232"/>
    <cellStyle name="Accent6 - 20%" xfId="233"/>
    <cellStyle name="Accent6 - 40%" xfId="234"/>
    <cellStyle name="Accent6 - 40% 2" xfId="235"/>
    <cellStyle name="Accent6 - 60%" xfId="236"/>
    <cellStyle name="Accent6 - 60% 2" xfId="237"/>
    <cellStyle name="Accent6_Многодетные " xfId="238"/>
    <cellStyle name="Bad" xfId="239"/>
    <cellStyle name="Calculation" xfId="240"/>
    <cellStyle name="Check Cell" xfId="241"/>
    <cellStyle name="Emphasis 1" xfId="242"/>
    <cellStyle name="Emphasis 1 2" xfId="243"/>
    <cellStyle name="Emphasis 2" xfId="244"/>
    <cellStyle name="Emphasis 2 2" xfId="245"/>
    <cellStyle name="Emphasis 3" xfId="246"/>
    <cellStyle name="Excel Built-in Normal" xfId="247"/>
    <cellStyle name="Excel Built-in Normal 2" xfId="248"/>
    <cellStyle name="Explanatory Text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Linked Cell" xfId="256"/>
    <cellStyle name="Neutral" xfId="257"/>
    <cellStyle name="Normal_TMP_1" xfId="258"/>
    <cellStyle name="Note" xfId="259"/>
    <cellStyle name="Output" xfId="260"/>
    <cellStyle name="SAPBEXaggData" xfId="261"/>
    <cellStyle name="SAPBEXaggData 2" xfId="262"/>
    <cellStyle name="SAPBEXaggDataEmph" xfId="263"/>
    <cellStyle name="SAPBEXaggDataEmph 2" xfId="264"/>
    <cellStyle name="SAPBEXaggItem" xfId="265"/>
    <cellStyle name="SAPBEXaggItem 2" xfId="266"/>
    <cellStyle name="SAPBEXaggItemX" xfId="267"/>
    <cellStyle name="SAPBEXaggItemX 2" xfId="268"/>
    <cellStyle name="SAPBEXchaText" xfId="269"/>
    <cellStyle name="SAPBEXchaText 2" xfId="270"/>
    <cellStyle name="SAPBEXexcBad7" xfId="271"/>
    <cellStyle name="SAPBEXexcBad7 2" xfId="272"/>
    <cellStyle name="SAPBEXexcBad8" xfId="273"/>
    <cellStyle name="SAPBEXexcBad8 2" xfId="274"/>
    <cellStyle name="SAPBEXexcBad9" xfId="275"/>
    <cellStyle name="SAPBEXexcBad9 2" xfId="276"/>
    <cellStyle name="SAPBEXexcCritical4" xfId="277"/>
    <cellStyle name="SAPBEXexcCritical4 2" xfId="278"/>
    <cellStyle name="SAPBEXexcCritical5" xfId="279"/>
    <cellStyle name="SAPBEXexcCritical5 2" xfId="280"/>
    <cellStyle name="SAPBEXexcCritical6" xfId="281"/>
    <cellStyle name="SAPBEXexcCritical6 2" xfId="282"/>
    <cellStyle name="SAPBEXexcGood1" xfId="283"/>
    <cellStyle name="SAPBEXexcGood1 2" xfId="284"/>
    <cellStyle name="SAPBEXexcGood2" xfId="285"/>
    <cellStyle name="SAPBEXexcGood2 2" xfId="286"/>
    <cellStyle name="SAPBEXexcGood3" xfId="287"/>
    <cellStyle name="SAPBEXexcGood3 2" xfId="288"/>
    <cellStyle name="SAPBEXfilterDrill" xfId="289"/>
    <cellStyle name="SAPBEXfilterDrill 2" xfId="290"/>
    <cellStyle name="SAPBEXfilterItem" xfId="291"/>
    <cellStyle name="SAPBEXfilterItem 2" xfId="292"/>
    <cellStyle name="SAPBEXfilterText" xfId="293"/>
    <cellStyle name="SAPBEXfilterText 2" xfId="294"/>
    <cellStyle name="SAPBEXformats" xfId="295"/>
    <cellStyle name="SAPBEXformats 2" xfId="296"/>
    <cellStyle name="SAPBEXheaderItem" xfId="297"/>
    <cellStyle name="SAPBEXheaderItem 2" xfId="298"/>
    <cellStyle name="SAPBEXheaderText" xfId="299"/>
    <cellStyle name="SAPBEXheaderText 2" xfId="300"/>
    <cellStyle name="SAPBEXHLevel0" xfId="301"/>
    <cellStyle name="SAPBEXHLevel0 2" xfId="302"/>
    <cellStyle name="SAPBEXHLevel0X" xfId="303"/>
    <cellStyle name="SAPBEXHLevel0X 2" xfId="304"/>
    <cellStyle name="SAPBEXHLevel0X 3" xfId="305"/>
    <cellStyle name="SAPBEXHLevel1" xfId="306"/>
    <cellStyle name="SAPBEXHLevel1 2" xfId="307"/>
    <cellStyle name="SAPBEXHLevel1X" xfId="308"/>
    <cellStyle name="SAPBEXHLevel1X 2" xfId="309"/>
    <cellStyle name="SAPBEXHLevel1X 3" xfId="310"/>
    <cellStyle name="SAPBEXHLevel2" xfId="311"/>
    <cellStyle name="SAPBEXHLevel2 2" xfId="312"/>
    <cellStyle name="SAPBEXHLevel2X" xfId="313"/>
    <cellStyle name="SAPBEXHLevel2X 2" xfId="314"/>
    <cellStyle name="SAPBEXHLevel2X 3" xfId="315"/>
    <cellStyle name="SAPBEXHLevel3" xfId="316"/>
    <cellStyle name="SAPBEXHLevel3 2" xfId="317"/>
    <cellStyle name="SAPBEXHLevel3X" xfId="318"/>
    <cellStyle name="SAPBEXHLevel3X 2" xfId="319"/>
    <cellStyle name="SAPBEXHLevel3X 3" xfId="320"/>
    <cellStyle name="SAPBEXinputData" xfId="321"/>
    <cellStyle name="SAPBEXinputData 2" xfId="322"/>
    <cellStyle name="SAPBEXinputData 3" xfId="323"/>
    <cellStyle name="SAPBEXItemHeader" xfId="324"/>
    <cellStyle name="SAPBEXresData" xfId="325"/>
    <cellStyle name="SAPBEXresData 2" xfId="326"/>
    <cellStyle name="SAPBEXresDataEmph" xfId="327"/>
    <cellStyle name="SAPBEXresDataEmph 2" xfId="328"/>
    <cellStyle name="SAPBEXresItem" xfId="329"/>
    <cellStyle name="SAPBEXresItem 2" xfId="330"/>
    <cellStyle name="SAPBEXresItemX" xfId="331"/>
    <cellStyle name="SAPBEXresItemX 2" xfId="332"/>
    <cellStyle name="SAPBEXstdData" xfId="333"/>
    <cellStyle name="SAPBEXstdData 2" xfId="334"/>
    <cellStyle name="SAPBEXstdData 2 2" xfId="335"/>
    <cellStyle name="SAPBEXstdDataEmph" xfId="336"/>
    <cellStyle name="SAPBEXstdDataEmph 2" xfId="337"/>
    <cellStyle name="SAPBEXstdItem" xfId="338"/>
    <cellStyle name="SAPBEXstdItem 2" xfId="339"/>
    <cellStyle name="SAPBEXstdItem 3" xfId="340"/>
    <cellStyle name="SAPBEXstdItem 4" xfId="341"/>
    <cellStyle name="SAPBEXstdItemX" xfId="342"/>
    <cellStyle name="SAPBEXstdItemX 2" xfId="343"/>
    <cellStyle name="SAPBEXtitle" xfId="344"/>
    <cellStyle name="SAPBEXtitle 2" xfId="345"/>
    <cellStyle name="SAPBEXunassignedItem" xfId="346"/>
    <cellStyle name="SAPBEXundefined" xfId="347"/>
    <cellStyle name="SAPBEXundefined 2" xfId="348"/>
    <cellStyle name="Sheet Title" xfId="349"/>
    <cellStyle name="Title" xfId="350"/>
    <cellStyle name="Total" xfId="351"/>
    <cellStyle name="Warning Text" xfId="352"/>
    <cellStyle name="Акцент1" xfId="353"/>
    <cellStyle name="Акцент1 2" xfId="354"/>
    <cellStyle name="Акцент1 2 2" xfId="355"/>
    <cellStyle name="Акцент1 2 2 2" xfId="356"/>
    <cellStyle name="Акцент1 2 3" xfId="357"/>
    <cellStyle name="Акцент1 2 3 2" xfId="358"/>
    <cellStyle name="Акцент1 2 4" xfId="359"/>
    <cellStyle name="Акцент1 3" xfId="360"/>
    <cellStyle name="Акцент1 3 2" xfId="361"/>
    <cellStyle name="Акцент2" xfId="362"/>
    <cellStyle name="Акцент2 2" xfId="363"/>
    <cellStyle name="Акцент2 2 2" xfId="364"/>
    <cellStyle name="Акцент2 2 2 2" xfId="365"/>
    <cellStyle name="Акцент2 2 3" xfId="366"/>
    <cellStyle name="Акцент2 2 3 2" xfId="367"/>
    <cellStyle name="Акцент2 2 4" xfId="368"/>
    <cellStyle name="Акцент2 3" xfId="369"/>
    <cellStyle name="Акцент2 3 2" xfId="370"/>
    <cellStyle name="Акцент3" xfId="371"/>
    <cellStyle name="Акцент3 2" xfId="372"/>
    <cellStyle name="Акцент3 2 2" xfId="373"/>
    <cellStyle name="Акцент3 2 2 2" xfId="374"/>
    <cellStyle name="Акцент3 2 3" xfId="375"/>
    <cellStyle name="Акцент3 2 3 2" xfId="376"/>
    <cellStyle name="Акцент3 2 4" xfId="377"/>
    <cellStyle name="Акцент3 3" xfId="378"/>
    <cellStyle name="Акцент3 3 2" xfId="379"/>
    <cellStyle name="Акцент4" xfId="380"/>
    <cellStyle name="Акцент4 2" xfId="381"/>
    <cellStyle name="Акцент4 2 2" xfId="382"/>
    <cellStyle name="Акцент4 2 2 2" xfId="383"/>
    <cellStyle name="Акцент4 2 3" xfId="384"/>
    <cellStyle name="Акцент4 2 3 2" xfId="385"/>
    <cellStyle name="Акцент4 2 4" xfId="386"/>
    <cellStyle name="Акцент4 3" xfId="387"/>
    <cellStyle name="Акцент4 3 2" xfId="388"/>
    <cellStyle name="Акцент5" xfId="389"/>
    <cellStyle name="Акцент5 2" xfId="390"/>
    <cellStyle name="Акцент5 2 2" xfId="391"/>
    <cellStyle name="Акцент5 2 2 2" xfId="392"/>
    <cellStyle name="Акцент5 2 3" xfId="393"/>
    <cellStyle name="Акцент5 2 3 2" xfId="394"/>
    <cellStyle name="Акцент5 2 4" xfId="395"/>
    <cellStyle name="Акцент5 3" xfId="396"/>
    <cellStyle name="Акцент5 3 2" xfId="397"/>
    <cellStyle name="Акцент6" xfId="398"/>
    <cellStyle name="Акцент6 2" xfId="399"/>
    <cellStyle name="Акцент6 2 2" xfId="400"/>
    <cellStyle name="Акцент6 2 2 2" xfId="401"/>
    <cellStyle name="Акцент6 2 3" xfId="402"/>
    <cellStyle name="Акцент6 2 3 2" xfId="403"/>
    <cellStyle name="Акцент6 2 4" xfId="404"/>
    <cellStyle name="Акцент6 3" xfId="405"/>
    <cellStyle name="Акцент6 3 2" xfId="406"/>
    <cellStyle name="Ввод " xfId="407"/>
    <cellStyle name="Ввод  2" xfId="408"/>
    <cellStyle name="Ввод  2 2" xfId="409"/>
    <cellStyle name="Ввод  2 2 2" xfId="410"/>
    <cellStyle name="Ввод  2 3" xfId="411"/>
    <cellStyle name="Ввод  2 3 2" xfId="412"/>
    <cellStyle name="Ввод  2 4" xfId="413"/>
    <cellStyle name="Ввод  3" xfId="414"/>
    <cellStyle name="Ввод  3 2" xfId="415"/>
    <cellStyle name="Вывод" xfId="416"/>
    <cellStyle name="Вывод 2" xfId="417"/>
    <cellStyle name="Вывод 2 2" xfId="418"/>
    <cellStyle name="Вывод 2 2 2" xfId="419"/>
    <cellStyle name="Вывод 2 3" xfId="420"/>
    <cellStyle name="Вывод 2 3 2" xfId="421"/>
    <cellStyle name="Вывод 2 4" xfId="422"/>
    <cellStyle name="Вывод 3" xfId="423"/>
    <cellStyle name="Вывод 3 2" xfId="424"/>
    <cellStyle name="Вычисление" xfId="425"/>
    <cellStyle name="Вычисление 2" xfId="426"/>
    <cellStyle name="Вычисление 2 2" xfId="427"/>
    <cellStyle name="Вычисление 2 2 2" xfId="428"/>
    <cellStyle name="Вычисление 2 3" xfId="429"/>
    <cellStyle name="Вычисление 2 3 2" xfId="430"/>
    <cellStyle name="Вычисление 2 4" xfId="431"/>
    <cellStyle name="Вычисление 3" xfId="432"/>
    <cellStyle name="Вычисление 3 2" xfId="433"/>
    <cellStyle name="Hyperlink" xfId="434"/>
    <cellStyle name="Currency" xfId="435"/>
    <cellStyle name="Currency [0]" xfId="436"/>
    <cellStyle name="Денежный 2" xfId="437"/>
    <cellStyle name="Денежный 3" xfId="438"/>
    <cellStyle name="Денежный 4" xfId="439"/>
    <cellStyle name="Заголовок 1" xfId="440"/>
    <cellStyle name="Заголовок 1 2" xfId="441"/>
    <cellStyle name="Заголовок 1 2 2" xfId="442"/>
    <cellStyle name="Заголовок 1 3" xfId="443"/>
    <cellStyle name="Заголовок 1 3 2" xfId="444"/>
    <cellStyle name="Заголовок 2" xfId="445"/>
    <cellStyle name="Заголовок 2 2" xfId="446"/>
    <cellStyle name="Заголовок 2 2 2" xfId="447"/>
    <cellStyle name="Заголовок 2 3" xfId="448"/>
    <cellStyle name="Заголовок 2 3 2" xfId="449"/>
    <cellStyle name="Заголовок 3" xfId="450"/>
    <cellStyle name="Заголовок 3 2" xfId="451"/>
    <cellStyle name="Заголовок 3 2 2" xfId="452"/>
    <cellStyle name="Заголовок 3 3" xfId="453"/>
    <cellStyle name="Заголовок 3 3 2" xfId="454"/>
    <cellStyle name="Заголовок 4" xfId="455"/>
    <cellStyle name="Заголовок 4 2" xfId="456"/>
    <cellStyle name="Заголовок 4 2 2" xfId="457"/>
    <cellStyle name="Заголовок 4 3" xfId="458"/>
    <cellStyle name="Заголовок 4 3 2" xfId="459"/>
    <cellStyle name="Итог" xfId="460"/>
    <cellStyle name="Итог 2" xfId="461"/>
    <cellStyle name="Итог 2 2" xfId="462"/>
    <cellStyle name="Итог 3" xfId="463"/>
    <cellStyle name="Итог 3 2" xfId="464"/>
    <cellStyle name="Контрольная ячейка" xfId="465"/>
    <cellStyle name="Контрольная ячейка 2" xfId="466"/>
    <cellStyle name="Контрольная ячейка 2 2" xfId="467"/>
    <cellStyle name="Контрольная ячейка 2 2 2" xfId="468"/>
    <cellStyle name="Контрольная ячейка 2 3" xfId="469"/>
    <cellStyle name="Контрольная ячейка 2 3 2" xfId="470"/>
    <cellStyle name="Контрольная ячейка 2 4" xfId="471"/>
    <cellStyle name="Контрольная ячейка 3" xfId="472"/>
    <cellStyle name="Контрольная ячейка 3 2" xfId="473"/>
    <cellStyle name="Название" xfId="474"/>
    <cellStyle name="Название 2" xfId="475"/>
    <cellStyle name="Название 2 2" xfId="476"/>
    <cellStyle name="Название 3" xfId="477"/>
    <cellStyle name="Название 3 2" xfId="478"/>
    <cellStyle name="Нейтральный" xfId="479"/>
    <cellStyle name="Нейтральный 2" xfId="480"/>
    <cellStyle name="Нейтральный 2 2" xfId="481"/>
    <cellStyle name="Нейтральный 2 2 2" xfId="482"/>
    <cellStyle name="Нейтральный 2 3" xfId="483"/>
    <cellStyle name="Нейтральный 2 3 2" xfId="484"/>
    <cellStyle name="Нейтральный 2 4" xfId="485"/>
    <cellStyle name="Нейтральный 3" xfId="486"/>
    <cellStyle name="Нейтральный 3 2" xfId="487"/>
    <cellStyle name="Обычный 10" xfId="488"/>
    <cellStyle name="Обычный 10 2" xfId="489"/>
    <cellStyle name="Обычный 10_412 Формы для зп на 2016 год  приложение-расчет" xfId="490"/>
    <cellStyle name="Обычный 11" xfId="491"/>
    <cellStyle name="Обычный 12" xfId="492"/>
    <cellStyle name="Обычный 13" xfId="493"/>
    <cellStyle name="Обычный 14" xfId="494"/>
    <cellStyle name="Обычный 14 10" xfId="495"/>
    <cellStyle name="Обычный 14 11" xfId="496"/>
    <cellStyle name="Обычный 14 12" xfId="497"/>
    <cellStyle name="Обычный 14 13" xfId="498"/>
    <cellStyle name="Обычный 14 14" xfId="499"/>
    <cellStyle name="Обычный 14 15" xfId="500"/>
    <cellStyle name="Обычный 14 16" xfId="501"/>
    <cellStyle name="Обычный 14 17" xfId="502"/>
    <cellStyle name="Обычный 14 18" xfId="503"/>
    <cellStyle name="Обычный 14 19" xfId="504"/>
    <cellStyle name="Обычный 14 2" xfId="505"/>
    <cellStyle name="Обычный 14 20" xfId="506"/>
    <cellStyle name="Обычный 14 21" xfId="507"/>
    <cellStyle name="Обычный 14 3" xfId="508"/>
    <cellStyle name="Обычный 14 4" xfId="509"/>
    <cellStyle name="Обычный 14 5" xfId="510"/>
    <cellStyle name="Обычный 14 6" xfId="511"/>
    <cellStyle name="Обычный 14 7" xfId="512"/>
    <cellStyle name="Обычный 14 8" xfId="513"/>
    <cellStyle name="Обычный 14 9" xfId="514"/>
    <cellStyle name="Обычный 15" xfId="515"/>
    <cellStyle name="Обычный 15 10" xfId="516"/>
    <cellStyle name="Обычный 15 11" xfId="517"/>
    <cellStyle name="Обычный 15 12" xfId="518"/>
    <cellStyle name="Обычный 15 13" xfId="519"/>
    <cellStyle name="Обычный 15 14" xfId="520"/>
    <cellStyle name="Обычный 15 15" xfId="521"/>
    <cellStyle name="Обычный 15 16" xfId="522"/>
    <cellStyle name="Обычный 15 17" xfId="523"/>
    <cellStyle name="Обычный 15 18" xfId="524"/>
    <cellStyle name="Обычный 15 19" xfId="525"/>
    <cellStyle name="Обычный 15 2" xfId="526"/>
    <cellStyle name="Обычный 15 20" xfId="527"/>
    <cellStyle name="Обычный 15 21" xfId="528"/>
    <cellStyle name="Обычный 15 3" xfId="529"/>
    <cellStyle name="Обычный 15 4" xfId="530"/>
    <cellStyle name="Обычный 15 5" xfId="531"/>
    <cellStyle name="Обычный 15 6" xfId="532"/>
    <cellStyle name="Обычный 15 7" xfId="533"/>
    <cellStyle name="Обычный 15 8" xfId="534"/>
    <cellStyle name="Обычный 15 9" xfId="535"/>
    <cellStyle name="Обычный 16" xfId="536"/>
    <cellStyle name="Обычный 17" xfId="537"/>
    <cellStyle name="Обычный 17 10" xfId="538"/>
    <cellStyle name="Обычный 17 11" xfId="539"/>
    <cellStyle name="Обычный 17 12" xfId="540"/>
    <cellStyle name="Обычный 17 13" xfId="541"/>
    <cellStyle name="Обычный 17 14" xfId="542"/>
    <cellStyle name="Обычный 17 15" xfId="543"/>
    <cellStyle name="Обычный 17 16" xfId="544"/>
    <cellStyle name="Обычный 17 17" xfId="545"/>
    <cellStyle name="Обычный 17 18" xfId="546"/>
    <cellStyle name="Обычный 17 19" xfId="547"/>
    <cellStyle name="Обычный 17 2" xfId="548"/>
    <cellStyle name="Обычный 17 20" xfId="549"/>
    <cellStyle name="Обычный 17 21" xfId="550"/>
    <cellStyle name="Обычный 17 3" xfId="551"/>
    <cellStyle name="Обычный 17 4" xfId="552"/>
    <cellStyle name="Обычный 17 5" xfId="553"/>
    <cellStyle name="Обычный 17 6" xfId="554"/>
    <cellStyle name="Обычный 17 7" xfId="555"/>
    <cellStyle name="Обычный 17 8" xfId="556"/>
    <cellStyle name="Обычный 17 9" xfId="557"/>
    <cellStyle name="Обычный 18" xfId="558"/>
    <cellStyle name="Обычный 18 10" xfId="559"/>
    <cellStyle name="Обычный 18 11" xfId="560"/>
    <cellStyle name="Обычный 18 12" xfId="561"/>
    <cellStyle name="Обычный 18 13" xfId="562"/>
    <cellStyle name="Обычный 18 14" xfId="563"/>
    <cellStyle name="Обычный 18 15" xfId="564"/>
    <cellStyle name="Обычный 18 16" xfId="565"/>
    <cellStyle name="Обычный 18 17" xfId="566"/>
    <cellStyle name="Обычный 18 18" xfId="567"/>
    <cellStyle name="Обычный 18 19" xfId="568"/>
    <cellStyle name="Обычный 18 2" xfId="569"/>
    <cellStyle name="Обычный 18 20" xfId="570"/>
    <cellStyle name="Обычный 18 21" xfId="571"/>
    <cellStyle name="Обычный 18 22" xfId="572"/>
    <cellStyle name="Обычный 18 3" xfId="573"/>
    <cellStyle name="Обычный 18 4" xfId="574"/>
    <cellStyle name="Обычный 18 5" xfId="575"/>
    <cellStyle name="Обычный 18 6" xfId="576"/>
    <cellStyle name="Обычный 18 7" xfId="577"/>
    <cellStyle name="Обычный 18 8" xfId="578"/>
    <cellStyle name="Обычный 18 9" xfId="579"/>
    <cellStyle name="Обычный 2" xfId="580"/>
    <cellStyle name="Обычный 2 10" xfId="581"/>
    <cellStyle name="Обычный 2 100" xfId="582"/>
    <cellStyle name="Обычный 2 101" xfId="583"/>
    <cellStyle name="Обычный 2 102" xfId="584"/>
    <cellStyle name="Обычный 2 103" xfId="585"/>
    <cellStyle name="Обычный 2 104" xfId="586"/>
    <cellStyle name="Обычный 2 105" xfId="587"/>
    <cellStyle name="Обычный 2 106" xfId="588"/>
    <cellStyle name="Обычный 2 107" xfId="589"/>
    <cellStyle name="Обычный 2 108" xfId="590"/>
    <cellStyle name="Обычный 2 109" xfId="591"/>
    <cellStyle name="Обычный 2 11" xfId="592"/>
    <cellStyle name="Обычный 2 110" xfId="593"/>
    <cellStyle name="Обычный 2 111" xfId="594"/>
    <cellStyle name="Обычный 2 112" xfId="595"/>
    <cellStyle name="Обычный 2 113" xfId="596"/>
    <cellStyle name="Обычный 2 114" xfId="597"/>
    <cellStyle name="Обычный 2 12" xfId="598"/>
    <cellStyle name="Обычный 2 13" xfId="599"/>
    <cellStyle name="Обычный 2 14" xfId="600"/>
    <cellStyle name="Обычный 2 15" xfId="601"/>
    <cellStyle name="Обычный 2 16" xfId="602"/>
    <cellStyle name="Обычный 2 17" xfId="603"/>
    <cellStyle name="Обычный 2 18" xfId="604"/>
    <cellStyle name="Обычный 2 19" xfId="605"/>
    <cellStyle name="Обычный 2 2" xfId="606"/>
    <cellStyle name="Обычный 2 2 2" xfId="607"/>
    <cellStyle name="Обычный 2 2 2 2" xfId="608"/>
    <cellStyle name="Обычный 2 2 2 3" xfId="609"/>
    <cellStyle name="Обычный 2 2 3" xfId="610"/>
    <cellStyle name="Обычный 2 2_15.12.17 Расчет обоснование к плану ФХД-2018" xfId="611"/>
    <cellStyle name="Обычный 2 20" xfId="612"/>
    <cellStyle name="Обычный 2 21" xfId="613"/>
    <cellStyle name="Обычный 2 22" xfId="614"/>
    <cellStyle name="Обычный 2 23" xfId="615"/>
    <cellStyle name="Обычный 2 24" xfId="616"/>
    <cellStyle name="Обычный 2 25" xfId="617"/>
    <cellStyle name="Обычный 2 26" xfId="618"/>
    <cellStyle name="Обычный 2 27" xfId="619"/>
    <cellStyle name="Обычный 2 28" xfId="620"/>
    <cellStyle name="Обычный 2 29" xfId="621"/>
    <cellStyle name="Обычный 2 3" xfId="622"/>
    <cellStyle name="Обычный 2 3 2" xfId="623"/>
    <cellStyle name="Обычный 2 3 3" xfId="624"/>
    <cellStyle name="Обычный 2 3_412 Формы для зп на 2016 год  приложение-расчет" xfId="625"/>
    <cellStyle name="Обычный 2 30" xfId="626"/>
    <cellStyle name="Обычный 2 31" xfId="627"/>
    <cellStyle name="Обычный 2 32" xfId="628"/>
    <cellStyle name="Обычный 2 33" xfId="629"/>
    <cellStyle name="Обычный 2 34" xfId="630"/>
    <cellStyle name="Обычный 2 35" xfId="631"/>
    <cellStyle name="Обычный 2 36" xfId="632"/>
    <cellStyle name="Обычный 2 37" xfId="633"/>
    <cellStyle name="Обычный 2 38" xfId="634"/>
    <cellStyle name="Обычный 2 39" xfId="635"/>
    <cellStyle name="Обычный 2 4" xfId="636"/>
    <cellStyle name="Обычный 2 40" xfId="637"/>
    <cellStyle name="Обычный 2 41" xfId="638"/>
    <cellStyle name="Обычный 2 42" xfId="639"/>
    <cellStyle name="Обычный 2 43" xfId="640"/>
    <cellStyle name="Обычный 2 44" xfId="641"/>
    <cellStyle name="Обычный 2 45" xfId="642"/>
    <cellStyle name="Обычный 2 46" xfId="643"/>
    <cellStyle name="Обычный 2 47" xfId="644"/>
    <cellStyle name="Обычный 2 48" xfId="645"/>
    <cellStyle name="Обычный 2 49" xfId="646"/>
    <cellStyle name="Обычный 2 5" xfId="647"/>
    <cellStyle name="Обычный 2 50" xfId="648"/>
    <cellStyle name="Обычный 2 51" xfId="649"/>
    <cellStyle name="Обычный 2 52" xfId="650"/>
    <cellStyle name="Обычный 2 53" xfId="651"/>
    <cellStyle name="Обычный 2 54" xfId="652"/>
    <cellStyle name="Обычный 2 55" xfId="653"/>
    <cellStyle name="Обычный 2 56" xfId="654"/>
    <cellStyle name="Обычный 2 57" xfId="655"/>
    <cellStyle name="Обычный 2 58" xfId="656"/>
    <cellStyle name="Обычный 2 59" xfId="657"/>
    <cellStyle name="Обычный 2 6" xfId="658"/>
    <cellStyle name="Обычный 2 60" xfId="659"/>
    <cellStyle name="Обычный 2 61" xfId="660"/>
    <cellStyle name="Обычный 2 62" xfId="661"/>
    <cellStyle name="Обычный 2 63" xfId="662"/>
    <cellStyle name="Обычный 2 64" xfId="663"/>
    <cellStyle name="Обычный 2 65" xfId="664"/>
    <cellStyle name="Обычный 2 66" xfId="665"/>
    <cellStyle name="Обычный 2 67" xfId="666"/>
    <cellStyle name="Обычный 2 68" xfId="667"/>
    <cellStyle name="Обычный 2 69" xfId="668"/>
    <cellStyle name="Обычный 2 7" xfId="669"/>
    <cellStyle name="Обычный 2 70" xfId="670"/>
    <cellStyle name="Обычный 2 71" xfId="671"/>
    <cellStyle name="Обычный 2 72" xfId="672"/>
    <cellStyle name="Обычный 2 73" xfId="673"/>
    <cellStyle name="Обычный 2 74" xfId="674"/>
    <cellStyle name="Обычный 2 75" xfId="675"/>
    <cellStyle name="Обычный 2 76" xfId="676"/>
    <cellStyle name="Обычный 2 77" xfId="677"/>
    <cellStyle name="Обычный 2 78" xfId="678"/>
    <cellStyle name="Обычный 2 79" xfId="679"/>
    <cellStyle name="Обычный 2 8" xfId="680"/>
    <cellStyle name="Обычный 2 80" xfId="681"/>
    <cellStyle name="Обычный 2 81" xfId="682"/>
    <cellStyle name="Обычный 2 82" xfId="683"/>
    <cellStyle name="Обычный 2 83" xfId="684"/>
    <cellStyle name="Обычный 2 84" xfId="685"/>
    <cellStyle name="Обычный 2 85" xfId="686"/>
    <cellStyle name="Обычный 2 86" xfId="687"/>
    <cellStyle name="Обычный 2 87" xfId="688"/>
    <cellStyle name="Обычный 2 88" xfId="689"/>
    <cellStyle name="Обычный 2 89" xfId="690"/>
    <cellStyle name="Обычный 2 9" xfId="691"/>
    <cellStyle name="Обычный 2 90" xfId="692"/>
    <cellStyle name="Обычный 2 91" xfId="693"/>
    <cellStyle name="Обычный 2 92" xfId="694"/>
    <cellStyle name="Обычный 2 93" xfId="695"/>
    <cellStyle name="Обычный 2 94" xfId="696"/>
    <cellStyle name="Обычный 2 95" xfId="697"/>
    <cellStyle name="Обычный 2 96" xfId="698"/>
    <cellStyle name="Обычный 2 97" xfId="699"/>
    <cellStyle name="Обычный 2 98" xfId="700"/>
    <cellStyle name="Обычный 2 99" xfId="701"/>
    <cellStyle name="Обычный 2_15.12.17 Расчет обоснование к плану ФХД-2018" xfId="702"/>
    <cellStyle name="Обычный 3" xfId="703"/>
    <cellStyle name="Обычный 3 10" xfId="704"/>
    <cellStyle name="Обычный 3 11" xfId="705"/>
    <cellStyle name="Обычный 3 12" xfId="706"/>
    <cellStyle name="Обычный 3 13" xfId="707"/>
    <cellStyle name="Обычный 3 14" xfId="708"/>
    <cellStyle name="Обычный 3 15" xfId="709"/>
    <cellStyle name="Обычный 3 16" xfId="710"/>
    <cellStyle name="Обычный 3 17" xfId="711"/>
    <cellStyle name="Обычный 3 18" xfId="712"/>
    <cellStyle name="Обычный 3 19" xfId="713"/>
    <cellStyle name="Обычный 3 2" xfId="714"/>
    <cellStyle name="Обычный 3 20" xfId="715"/>
    <cellStyle name="Обычный 3 21" xfId="716"/>
    <cellStyle name="Обычный 3 22" xfId="717"/>
    <cellStyle name="Обычный 3 23" xfId="718"/>
    <cellStyle name="Обычный 3 24" xfId="719"/>
    <cellStyle name="Обычный 3 25" xfId="720"/>
    <cellStyle name="Обычный 3 26" xfId="721"/>
    <cellStyle name="Обычный 3 27" xfId="722"/>
    <cellStyle name="Обычный 3 28" xfId="723"/>
    <cellStyle name="Обычный 3 29" xfId="724"/>
    <cellStyle name="Обычный 3 3" xfId="725"/>
    <cellStyle name="Обычный 3 30" xfId="726"/>
    <cellStyle name="Обычный 3 31" xfId="727"/>
    <cellStyle name="Обычный 3 32" xfId="728"/>
    <cellStyle name="Обычный 3 33" xfId="729"/>
    <cellStyle name="Обычный 3 34" xfId="730"/>
    <cellStyle name="Обычный 3 35" xfId="731"/>
    <cellStyle name="Обычный 3 36" xfId="732"/>
    <cellStyle name="Обычный 3 37" xfId="733"/>
    <cellStyle name="Обычный 3 38" xfId="734"/>
    <cellStyle name="Обычный 3 39" xfId="735"/>
    <cellStyle name="Обычный 3 4" xfId="736"/>
    <cellStyle name="Обычный 3 40" xfId="737"/>
    <cellStyle name="Обычный 3 41" xfId="738"/>
    <cellStyle name="Обычный 3 42" xfId="739"/>
    <cellStyle name="Обычный 3 43" xfId="740"/>
    <cellStyle name="Обычный 3 44" xfId="741"/>
    <cellStyle name="Обычный 3 45" xfId="742"/>
    <cellStyle name="Обычный 3 46" xfId="743"/>
    <cellStyle name="Обычный 3 47" xfId="744"/>
    <cellStyle name="Обычный 3 48" xfId="745"/>
    <cellStyle name="Обычный 3 49" xfId="746"/>
    <cellStyle name="Обычный 3 5" xfId="747"/>
    <cellStyle name="Обычный 3 50" xfId="748"/>
    <cellStyle name="Обычный 3 51" xfId="749"/>
    <cellStyle name="Обычный 3 52" xfId="750"/>
    <cellStyle name="Обычный 3 53" xfId="751"/>
    <cellStyle name="Обычный 3 54" xfId="752"/>
    <cellStyle name="Обычный 3 55" xfId="753"/>
    <cellStyle name="Обычный 3 56" xfId="754"/>
    <cellStyle name="Обычный 3 57" xfId="755"/>
    <cellStyle name="Обычный 3 58" xfId="756"/>
    <cellStyle name="Обычный 3 59" xfId="757"/>
    <cellStyle name="Обычный 3 6" xfId="758"/>
    <cellStyle name="Обычный 3 60" xfId="759"/>
    <cellStyle name="Обычный 3 61" xfId="760"/>
    <cellStyle name="Обычный 3 62" xfId="761"/>
    <cellStyle name="Обычный 3 63" xfId="762"/>
    <cellStyle name="Обычный 3 64" xfId="763"/>
    <cellStyle name="Обычный 3 65" xfId="764"/>
    <cellStyle name="Обычный 3 66" xfId="765"/>
    <cellStyle name="Обычный 3 67" xfId="766"/>
    <cellStyle name="Обычный 3 68" xfId="767"/>
    <cellStyle name="Обычный 3 69" xfId="768"/>
    <cellStyle name="Обычный 3 7" xfId="769"/>
    <cellStyle name="Обычный 3 70" xfId="770"/>
    <cellStyle name="Обычный 3 71" xfId="771"/>
    <cellStyle name="Обычный 3 72" xfId="772"/>
    <cellStyle name="Обычный 3 73" xfId="773"/>
    <cellStyle name="Обычный 3 74" xfId="774"/>
    <cellStyle name="Обычный 3 75" xfId="775"/>
    <cellStyle name="Обычный 3 76" xfId="776"/>
    <cellStyle name="Обычный 3 77" xfId="777"/>
    <cellStyle name="Обычный 3 78" xfId="778"/>
    <cellStyle name="Обычный 3 79" xfId="779"/>
    <cellStyle name="Обычный 3 8" xfId="780"/>
    <cellStyle name="Обычный 3 80" xfId="781"/>
    <cellStyle name="Обычный 3 81" xfId="782"/>
    <cellStyle name="Обычный 3 82" xfId="783"/>
    <cellStyle name="Обычный 3 83" xfId="784"/>
    <cellStyle name="Обычный 3 84" xfId="785"/>
    <cellStyle name="Обычный 3 85" xfId="786"/>
    <cellStyle name="Обычный 3 86" xfId="787"/>
    <cellStyle name="Обычный 3 87" xfId="788"/>
    <cellStyle name="Обычный 3 88" xfId="789"/>
    <cellStyle name="Обычный 3 89" xfId="790"/>
    <cellStyle name="Обычный 3 9" xfId="791"/>
    <cellStyle name="Обычный 3 90" xfId="792"/>
    <cellStyle name="Обычный 3 91" xfId="793"/>
    <cellStyle name="Обычный 3 92" xfId="794"/>
    <cellStyle name="Обычный 3 93" xfId="795"/>
    <cellStyle name="Обычный 3 94" xfId="796"/>
    <cellStyle name="Обычный 3 95" xfId="797"/>
    <cellStyle name="Обычный 3 96" xfId="798"/>
    <cellStyle name="Обычный 3 97" xfId="799"/>
    <cellStyle name="Обычный 3_412 Формы для зп на 2016 год  приложение-расчет" xfId="800"/>
    <cellStyle name="Обычный 4" xfId="801"/>
    <cellStyle name="Обычный 4 10" xfId="802"/>
    <cellStyle name="Обычный 4 11" xfId="803"/>
    <cellStyle name="Обычный 4 12" xfId="804"/>
    <cellStyle name="Обычный 4 13" xfId="805"/>
    <cellStyle name="Обычный 4 14" xfId="806"/>
    <cellStyle name="Обычный 4 15" xfId="807"/>
    <cellStyle name="Обычный 4 16" xfId="808"/>
    <cellStyle name="Обычный 4 17" xfId="809"/>
    <cellStyle name="Обычный 4 18" xfId="810"/>
    <cellStyle name="Обычный 4 19" xfId="811"/>
    <cellStyle name="Обычный 4 2" xfId="812"/>
    <cellStyle name="Обычный 4 20" xfId="813"/>
    <cellStyle name="Обычный 4 21" xfId="814"/>
    <cellStyle name="Обычный 4 22" xfId="815"/>
    <cellStyle name="Обычный 4 23" xfId="816"/>
    <cellStyle name="Обычный 4 24" xfId="817"/>
    <cellStyle name="Обычный 4 25" xfId="818"/>
    <cellStyle name="Обычный 4 26" xfId="819"/>
    <cellStyle name="Обычный 4 27" xfId="820"/>
    <cellStyle name="Обычный 4 28" xfId="821"/>
    <cellStyle name="Обычный 4 29" xfId="822"/>
    <cellStyle name="Обычный 4 3" xfId="823"/>
    <cellStyle name="Обычный 4 30" xfId="824"/>
    <cellStyle name="Обычный 4 31" xfId="825"/>
    <cellStyle name="Обычный 4 32" xfId="826"/>
    <cellStyle name="Обычный 4 33" xfId="827"/>
    <cellStyle name="Обычный 4 34" xfId="828"/>
    <cellStyle name="Обычный 4 35" xfId="829"/>
    <cellStyle name="Обычный 4 36" xfId="830"/>
    <cellStyle name="Обычный 4 37" xfId="831"/>
    <cellStyle name="Обычный 4 38" xfId="832"/>
    <cellStyle name="Обычный 4 39" xfId="833"/>
    <cellStyle name="Обычный 4 4" xfId="834"/>
    <cellStyle name="Обычный 4 40" xfId="835"/>
    <cellStyle name="Обычный 4 41" xfId="836"/>
    <cellStyle name="Обычный 4 42" xfId="837"/>
    <cellStyle name="Обычный 4 43" xfId="838"/>
    <cellStyle name="Обычный 4 44" xfId="839"/>
    <cellStyle name="Обычный 4 45" xfId="840"/>
    <cellStyle name="Обычный 4 46" xfId="841"/>
    <cellStyle name="Обычный 4 47" xfId="842"/>
    <cellStyle name="Обычный 4 48" xfId="843"/>
    <cellStyle name="Обычный 4 49" xfId="844"/>
    <cellStyle name="Обычный 4 5" xfId="845"/>
    <cellStyle name="Обычный 4 50" xfId="846"/>
    <cellStyle name="Обычный 4 51" xfId="847"/>
    <cellStyle name="Обычный 4 52" xfId="848"/>
    <cellStyle name="Обычный 4 53" xfId="849"/>
    <cellStyle name="Обычный 4 54" xfId="850"/>
    <cellStyle name="Обычный 4 55" xfId="851"/>
    <cellStyle name="Обычный 4 56" xfId="852"/>
    <cellStyle name="Обычный 4 57" xfId="853"/>
    <cellStyle name="Обычный 4 58" xfId="854"/>
    <cellStyle name="Обычный 4 59" xfId="855"/>
    <cellStyle name="Обычный 4 6" xfId="856"/>
    <cellStyle name="Обычный 4 60" xfId="857"/>
    <cellStyle name="Обычный 4 61" xfId="858"/>
    <cellStyle name="Обычный 4 62" xfId="859"/>
    <cellStyle name="Обычный 4 63" xfId="860"/>
    <cellStyle name="Обычный 4 64" xfId="861"/>
    <cellStyle name="Обычный 4 65" xfId="862"/>
    <cellStyle name="Обычный 4 66" xfId="863"/>
    <cellStyle name="Обычный 4 67" xfId="864"/>
    <cellStyle name="Обычный 4 68" xfId="865"/>
    <cellStyle name="Обычный 4 69" xfId="866"/>
    <cellStyle name="Обычный 4 7" xfId="867"/>
    <cellStyle name="Обычный 4 70" xfId="868"/>
    <cellStyle name="Обычный 4 71" xfId="869"/>
    <cellStyle name="Обычный 4 72" xfId="870"/>
    <cellStyle name="Обычный 4 73" xfId="871"/>
    <cellStyle name="Обычный 4 74" xfId="872"/>
    <cellStyle name="Обычный 4 75" xfId="873"/>
    <cellStyle name="Обычный 4 76" xfId="874"/>
    <cellStyle name="Обычный 4 77" xfId="875"/>
    <cellStyle name="Обычный 4 78" xfId="876"/>
    <cellStyle name="Обычный 4 79" xfId="877"/>
    <cellStyle name="Обычный 4 8" xfId="878"/>
    <cellStyle name="Обычный 4 80" xfId="879"/>
    <cellStyle name="Обычный 4 81" xfId="880"/>
    <cellStyle name="Обычный 4 82" xfId="881"/>
    <cellStyle name="Обычный 4 83" xfId="882"/>
    <cellStyle name="Обычный 4 84" xfId="883"/>
    <cellStyle name="Обычный 4 85" xfId="884"/>
    <cellStyle name="Обычный 4 86" xfId="885"/>
    <cellStyle name="Обычный 4 87" xfId="886"/>
    <cellStyle name="Обычный 4 88" xfId="887"/>
    <cellStyle name="Обычный 4 89" xfId="888"/>
    <cellStyle name="Обычный 4 9" xfId="889"/>
    <cellStyle name="Обычный 4 90" xfId="890"/>
    <cellStyle name="Обычный 4 91" xfId="891"/>
    <cellStyle name="Обычный 4 92" xfId="892"/>
    <cellStyle name="Обычный 4 93" xfId="893"/>
    <cellStyle name="Обычный 4 94" xfId="894"/>
    <cellStyle name="Обычный 4 95" xfId="895"/>
    <cellStyle name="Обычный 4 96" xfId="896"/>
    <cellStyle name="Обычный 4 97" xfId="897"/>
    <cellStyle name="Обычный 5" xfId="898"/>
    <cellStyle name="Обычный 5 10" xfId="899"/>
    <cellStyle name="Обычный 5 11" xfId="900"/>
    <cellStyle name="Обычный 5 12" xfId="901"/>
    <cellStyle name="Обычный 5 13" xfId="902"/>
    <cellStyle name="Обычный 5 14" xfId="903"/>
    <cellStyle name="Обычный 5 15" xfId="904"/>
    <cellStyle name="Обычный 5 16" xfId="905"/>
    <cellStyle name="Обычный 5 17" xfId="906"/>
    <cellStyle name="Обычный 5 18" xfId="907"/>
    <cellStyle name="Обычный 5 19" xfId="908"/>
    <cellStyle name="Обычный 5 2" xfId="909"/>
    <cellStyle name="Обычный 5 20" xfId="910"/>
    <cellStyle name="Обычный 5 21" xfId="911"/>
    <cellStyle name="Обычный 5 22" xfId="912"/>
    <cellStyle name="Обычный 5 23" xfId="913"/>
    <cellStyle name="Обычный 5 24" xfId="914"/>
    <cellStyle name="Обычный 5 25" xfId="915"/>
    <cellStyle name="Обычный 5 26" xfId="916"/>
    <cellStyle name="Обычный 5 27" xfId="917"/>
    <cellStyle name="Обычный 5 28" xfId="918"/>
    <cellStyle name="Обычный 5 29" xfId="919"/>
    <cellStyle name="Обычный 5 3" xfId="920"/>
    <cellStyle name="Обычный 5 30" xfId="921"/>
    <cellStyle name="Обычный 5 31" xfId="922"/>
    <cellStyle name="Обычный 5 32" xfId="923"/>
    <cellStyle name="Обычный 5 33" xfId="924"/>
    <cellStyle name="Обычный 5 34" xfId="925"/>
    <cellStyle name="Обычный 5 35" xfId="926"/>
    <cellStyle name="Обычный 5 36" xfId="927"/>
    <cellStyle name="Обычный 5 37" xfId="928"/>
    <cellStyle name="Обычный 5 38" xfId="929"/>
    <cellStyle name="Обычный 5 39" xfId="930"/>
    <cellStyle name="Обычный 5 4" xfId="931"/>
    <cellStyle name="Обычный 5 40" xfId="932"/>
    <cellStyle name="Обычный 5 41" xfId="933"/>
    <cellStyle name="Обычный 5 42" xfId="934"/>
    <cellStyle name="Обычный 5 43" xfId="935"/>
    <cellStyle name="Обычный 5 44" xfId="936"/>
    <cellStyle name="Обычный 5 45" xfId="937"/>
    <cellStyle name="Обычный 5 46" xfId="938"/>
    <cellStyle name="Обычный 5 47" xfId="939"/>
    <cellStyle name="Обычный 5 48" xfId="940"/>
    <cellStyle name="Обычный 5 49" xfId="941"/>
    <cellStyle name="Обычный 5 5" xfId="942"/>
    <cellStyle name="Обычный 5 50" xfId="943"/>
    <cellStyle name="Обычный 5 51" xfId="944"/>
    <cellStyle name="Обычный 5 52" xfId="945"/>
    <cellStyle name="Обычный 5 53" xfId="946"/>
    <cellStyle name="Обычный 5 54" xfId="947"/>
    <cellStyle name="Обычный 5 55" xfId="948"/>
    <cellStyle name="Обычный 5 56" xfId="949"/>
    <cellStyle name="Обычный 5 57" xfId="950"/>
    <cellStyle name="Обычный 5 58" xfId="951"/>
    <cellStyle name="Обычный 5 59" xfId="952"/>
    <cellStyle name="Обычный 5 6" xfId="953"/>
    <cellStyle name="Обычный 5 60" xfId="954"/>
    <cellStyle name="Обычный 5 61" xfId="955"/>
    <cellStyle name="Обычный 5 62" xfId="956"/>
    <cellStyle name="Обычный 5 63" xfId="957"/>
    <cellStyle name="Обычный 5 64" xfId="958"/>
    <cellStyle name="Обычный 5 65" xfId="959"/>
    <cellStyle name="Обычный 5 66" xfId="960"/>
    <cellStyle name="Обычный 5 67" xfId="961"/>
    <cellStyle name="Обычный 5 68" xfId="962"/>
    <cellStyle name="Обычный 5 69" xfId="963"/>
    <cellStyle name="Обычный 5 7" xfId="964"/>
    <cellStyle name="Обычный 5 70" xfId="965"/>
    <cellStyle name="Обычный 5 71" xfId="966"/>
    <cellStyle name="Обычный 5 72" xfId="967"/>
    <cellStyle name="Обычный 5 73" xfId="968"/>
    <cellStyle name="Обычный 5 74" xfId="969"/>
    <cellStyle name="Обычный 5 75" xfId="970"/>
    <cellStyle name="Обычный 5 76" xfId="971"/>
    <cellStyle name="Обычный 5 77" xfId="972"/>
    <cellStyle name="Обычный 5 78" xfId="973"/>
    <cellStyle name="Обычный 5 79" xfId="974"/>
    <cellStyle name="Обычный 5 8" xfId="975"/>
    <cellStyle name="Обычный 5 80" xfId="976"/>
    <cellStyle name="Обычный 5 81" xfId="977"/>
    <cellStyle name="Обычный 5 82" xfId="978"/>
    <cellStyle name="Обычный 5 83" xfId="979"/>
    <cellStyle name="Обычный 5 84" xfId="980"/>
    <cellStyle name="Обычный 5 85" xfId="981"/>
    <cellStyle name="Обычный 5 86" xfId="982"/>
    <cellStyle name="Обычный 5 87" xfId="983"/>
    <cellStyle name="Обычный 5 88" xfId="984"/>
    <cellStyle name="Обычный 5 89" xfId="985"/>
    <cellStyle name="Обычный 5 9" xfId="986"/>
    <cellStyle name="Обычный 5 90" xfId="987"/>
    <cellStyle name="Обычный 5 91" xfId="988"/>
    <cellStyle name="Обычный 5 92" xfId="989"/>
    <cellStyle name="Обычный 5 93" xfId="990"/>
    <cellStyle name="Обычный 5 94" xfId="991"/>
    <cellStyle name="Обычный 5 95" xfId="992"/>
    <cellStyle name="Обычный 5 96" xfId="993"/>
    <cellStyle name="Обычный 5 97" xfId="994"/>
    <cellStyle name="Обычный 5_412 Формы для зп на 2016 год  приложение-расчет" xfId="995"/>
    <cellStyle name="Обычный 6" xfId="996"/>
    <cellStyle name="Обычный 6 2" xfId="997"/>
    <cellStyle name="Обычный 7" xfId="998"/>
    <cellStyle name="Обычный 7 2" xfId="999"/>
    <cellStyle name="Обычный 7 3" xfId="1000"/>
    <cellStyle name="Обычный 7_412 Формы для зп на 2016 год  приложение-расчет" xfId="1001"/>
    <cellStyle name="Обычный 8" xfId="1002"/>
    <cellStyle name="Обычный 8 10" xfId="1003"/>
    <cellStyle name="Обычный 8 11" xfId="1004"/>
    <cellStyle name="Обычный 8 12" xfId="1005"/>
    <cellStyle name="Обычный 8 13" xfId="1006"/>
    <cellStyle name="Обычный 8 14" xfId="1007"/>
    <cellStyle name="Обычный 8 15" xfId="1008"/>
    <cellStyle name="Обычный 8 16" xfId="1009"/>
    <cellStyle name="Обычный 8 17" xfId="1010"/>
    <cellStyle name="Обычный 8 18" xfId="1011"/>
    <cellStyle name="Обычный 8 19" xfId="1012"/>
    <cellStyle name="Обычный 8 2" xfId="1013"/>
    <cellStyle name="Обычный 8 20" xfId="1014"/>
    <cellStyle name="Обычный 8 21" xfId="1015"/>
    <cellStyle name="Обычный 8 22" xfId="1016"/>
    <cellStyle name="Обычный 8 3" xfId="1017"/>
    <cellStyle name="Обычный 8 4" xfId="1018"/>
    <cellStyle name="Обычный 8 5" xfId="1019"/>
    <cellStyle name="Обычный 8 6" xfId="1020"/>
    <cellStyle name="Обычный 8 7" xfId="1021"/>
    <cellStyle name="Обычный 8 8" xfId="1022"/>
    <cellStyle name="Обычный 8 9" xfId="1023"/>
    <cellStyle name="Обычный 8_412 Формы для зп на 2016 год  приложение-расчет" xfId="1024"/>
    <cellStyle name="Обычный 9" xfId="1025"/>
    <cellStyle name="Обычный 9 10" xfId="1026"/>
    <cellStyle name="Обычный 9 11" xfId="1027"/>
    <cellStyle name="Обычный 9 12" xfId="1028"/>
    <cellStyle name="Обычный 9 13" xfId="1029"/>
    <cellStyle name="Обычный 9 14" xfId="1030"/>
    <cellStyle name="Обычный 9 15" xfId="1031"/>
    <cellStyle name="Обычный 9 16" xfId="1032"/>
    <cellStyle name="Обычный 9 17" xfId="1033"/>
    <cellStyle name="Обычный 9 18" xfId="1034"/>
    <cellStyle name="Обычный 9 19" xfId="1035"/>
    <cellStyle name="Обычный 9 2" xfId="1036"/>
    <cellStyle name="Обычный 9 20" xfId="1037"/>
    <cellStyle name="Обычный 9 21" xfId="1038"/>
    <cellStyle name="Обычный 9 22" xfId="1039"/>
    <cellStyle name="Обычный 9 3" xfId="1040"/>
    <cellStyle name="Обычный 9 4" xfId="1041"/>
    <cellStyle name="Обычный 9 5" xfId="1042"/>
    <cellStyle name="Обычный 9 6" xfId="1043"/>
    <cellStyle name="Обычный 9 7" xfId="1044"/>
    <cellStyle name="Обычный 9 8" xfId="1045"/>
    <cellStyle name="Обычный 9 9" xfId="1046"/>
    <cellStyle name="Обычный 9_412 Формы для зп на 2016 год  приложение-расчет" xfId="1047"/>
    <cellStyle name="Followed Hyperlink" xfId="1048"/>
    <cellStyle name="Плохой" xfId="1049"/>
    <cellStyle name="Плохой 2" xfId="1050"/>
    <cellStyle name="Плохой 2 2" xfId="1051"/>
    <cellStyle name="Плохой 2 2 2" xfId="1052"/>
    <cellStyle name="Плохой 2 3" xfId="1053"/>
    <cellStyle name="Плохой 2 3 2" xfId="1054"/>
    <cellStyle name="Плохой 2 4" xfId="1055"/>
    <cellStyle name="Плохой 3" xfId="1056"/>
    <cellStyle name="Плохой 3 2" xfId="1057"/>
    <cellStyle name="Пояснение" xfId="1058"/>
    <cellStyle name="Пояснение 2" xfId="1059"/>
    <cellStyle name="Пояснение 2 2" xfId="1060"/>
    <cellStyle name="Пояснение 3" xfId="1061"/>
    <cellStyle name="Пояснение 3 2" xfId="1062"/>
    <cellStyle name="Примечание" xfId="1063"/>
    <cellStyle name="Примечание 2" xfId="1064"/>
    <cellStyle name="Примечание 3" xfId="1065"/>
    <cellStyle name="Примечание 4" xfId="1066"/>
    <cellStyle name="Percent" xfId="1067"/>
    <cellStyle name="Процентный 2" xfId="1068"/>
    <cellStyle name="Процентный 2 2" xfId="1069"/>
    <cellStyle name="Процентный 2 2 2" xfId="1070"/>
    <cellStyle name="Процентный 2 3" xfId="1071"/>
    <cellStyle name="Процентный 2 4" xfId="1072"/>
    <cellStyle name="Процентный 3" xfId="1073"/>
    <cellStyle name="Процентный 4" xfId="1074"/>
    <cellStyle name="Процентный 5" xfId="1075"/>
    <cellStyle name="Процентный 6" xfId="1076"/>
    <cellStyle name="Процентный 7" xfId="1077"/>
    <cellStyle name="Связанная ячейка" xfId="1078"/>
    <cellStyle name="Связанная ячейка 2" xfId="1079"/>
    <cellStyle name="Связанная ячейка 2 2" xfId="1080"/>
    <cellStyle name="Связанная ячейка 3" xfId="1081"/>
    <cellStyle name="Связанная ячейка 3 2" xfId="1082"/>
    <cellStyle name="Стиль 1" xfId="1083"/>
    <cellStyle name="Текст предупреждения" xfId="1084"/>
    <cellStyle name="Текст предупреждения 2" xfId="1085"/>
    <cellStyle name="Текст предупреждения 2 2" xfId="1086"/>
    <cellStyle name="Текст предупреждения 3" xfId="1087"/>
    <cellStyle name="Текст предупреждения 3 2" xfId="1088"/>
    <cellStyle name="Comma" xfId="1089"/>
    <cellStyle name="Comma [0]" xfId="1090"/>
    <cellStyle name="Финансовый 10" xfId="1091"/>
    <cellStyle name="Финансовый 11" xfId="1092"/>
    <cellStyle name="Финансовый 12" xfId="1093"/>
    <cellStyle name="Финансовый 13" xfId="1094"/>
    <cellStyle name="Финансовый 14" xfId="1095"/>
    <cellStyle name="Финансовый 15" xfId="1096"/>
    <cellStyle name="Финансовый 16" xfId="1097"/>
    <cellStyle name="Финансовый 17" xfId="1098"/>
    <cellStyle name="Финансовый 18" xfId="1099"/>
    <cellStyle name="Финансовый 19" xfId="1100"/>
    <cellStyle name="Финансовый 2" xfId="1101"/>
    <cellStyle name="Финансовый 2 10" xfId="1102"/>
    <cellStyle name="Финансовый 2 11" xfId="1103"/>
    <cellStyle name="Финансовый 2 12" xfId="1104"/>
    <cellStyle name="Финансовый 2 13" xfId="1105"/>
    <cellStyle name="Финансовый 2 14" xfId="1106"/>
    <cellStyle name="Финансовый 2 15" xfId="1107"/>
    <cellStyle name="Финансовый 2 16" xfId="1108"/>
    <cellStyle name="Финансовый 2 17" xfId="1109"/>
    <cellStyle name="Финансовый 2 18" xfId="1110"/>
    <cellStyle name="Финансовый 2 19" xfId="1111"/>
    <cellStyle name="Финансовый 2 2" xfId="1112"/>
    <cellStyle name="Финансовый 2 2 10" xfId="1113"/>
    <cellStyle name="Финансовый 2 2 11" xfId="1114"/>
    <cellStyle name="Финансовый 2 2 12" xfId="1115"/>
    <cellStyle name="Финансовый 2 2 13" xfId="1116"/>
    <cellStyle name="Финансовый 2 2 14" xfId="1117"/>
    <cellStyle name="Финансовый 2 2 15" xfId="1118"/>
    <cellStyle name="Финансовый 2 2 16" xfId="1119"/>
    <cellStyle name="Финансовый 2 2 17" xfId="1120"/>
    <cellStyle name="Финансовый 2 2 18" xfId="1121"/>
    <cellStyle name="Финансовый 2 2 19" xfId="1122"/>
    <cellStyle name="Финансовый 2 2 2" xfId="1123"/>
    <cellStyle name="Финансовый 2 2 20" xfId="1124"/>
    <cellStyle name="Финансовый 2 2 21" xfId="1125"/>
    <cellStyle name="Финансовый 2 2 22" xfId="1126"/>
    <cellStyle name="Финансовый 2 2 3" xfId="1127"/>
    <cellStyle name="Финансовый 2 2 4" xfId="1128"/>
    <cellStyle name="Финансовый 2 2 5" xfId="1129"/>
    <cellStyle name="Финансовый 2 2 6" xfId="1130"/>
    <cellStyle name="Финансовый 2 2 7" xfId="1131"/>
    <cellStyle name="Финансовый 2 2 8" xfId="1132"/>
    <cellStyle name="Финансовый 2 2 9" xfId="1133"/>
    <cellStyle name="Финансовый 2 20" xfId="1134"/>
    <cellStyle name="Финансовый 2 21" xfId="1135"/>
    <cellStyle name="Финансовый 2 22" xfId="1136"/>
    <cellStyle name="Финансовый 2 23" xfId="1137"/>
    <cellStyle name="Финансовый 2 24" xfId="1138"/>
    <cellStyle name="Финансовый 2 25" xfId="1139"/>
    <cellStyle name="Финансовый 2 26" xfId="1140"/>
    <cellStyle name="Финансовый 2 27" xfId="1141"/>
    <cellStyle name="Финансовый 2 28" xfId="1142"/>
    <cellStyle name="Финансовый 2 29" xfId="1143"/>
    <cellStyle name="Финансовый 2 3" xfId="1144"/>
    <cellStyle name="Финансовый 2 3 10" xfId="1145"/>
    <cellStyle name="Финансовый 2 3 11" xfId="1146"/>
    <cellStyle name="Финансовый 2 3 12" xfId="1147"/>
    <cellStyle name="Финансовый 2 3 13" xfId="1148"/>
    <cellStyle name="Финансовый 2 3 14" xfId="1149"/>
    <cellStyle name="Финансовый 2 3 15" xfId="1150"/>
    <cellStyle name="Финансовый 2 3 16" xfId="1151"/>
    <cellStyle name="Финансовый 2 3 17" xfId="1152"/>
    <cellStyle name="Финансовый 2 3 18" xfId="1153"/>
    <cellStyle name="Финансовый 2 3 19" xfId="1154"/>
    <cellStyle name="Финансовый 2 3 2" xfId="1155"/>
    <cellStyle name="Финансовый 2 3 2 2" xfId="1156"/>
    <cellStyle name="Финансовый 2 3 20" xfId="1157"/>
    <cellStyle name="Финансовый 2 3 21" xfId="1158"/>
    <cellStyle name="Финансовый 2 3 22" xfId="1159"/>
    <cellStyle name="Финансовый 2 3 3" xfId="1160"/>
    <cellStyle name="Финансовый 2 3 4" xfId="1161"/>
    <cellStyle name="Финансовый 2 3 5" xfId="1162"/>
    <cellStyle name="Финансовый 2 3 6" xfId="1163"/>
    <cellStyle name="Финансовый 2 3 7" xfId="1164"/>
    <cellStyle name="Финансовый 2 3 8" xfId="1165"/>
    <cellStyle name="Финансовый 2 3 9" xfId="1166"/>
    <cellStyle name="Финансовый 2 30" xfId="1167"/>
    <cellStyle name="Финансовый 2 31" xfId="1168"/>
    <cellStyle name="Финансовый 2 32" xfId="1169"/>
    <cellStyle name="Финансовый 2 33" xfId="1170"/>
    <cellStyle name="Финансовый 2 34" xfId="1171"/>
    <cellStyle name="Финансовый 2 35" xfId="1172"/>
    <cellStyle name="Финансовый 2 36" xfId="1173"/>
    <cellStyle name="Финансовый 2 37" xfId="1174"/>
    <cellStyle name="Финансовый 2 38" xfId="1175"/>
    <cellStyle name="Финансовый 2 39" xfId="1176"/>
    <cellStyle name="Финансовый 2 4" xfId="1177"/>
    <cellStyle name="Финансовый 2 4 10" xfId="1178"/>
    <cellStyle name="Финансовый 2 4 11" xfId="1179"/>
    <cellStyle name="Финансовый 2 4 12" xfId="1180"/>
    <cellStyle name="Финансовый 2 4 13" xfId="1181"/>
    <cellStyle name="Финансовый 2 4 14" xfId="1182"/>
    <cellStyle name="Финансовый 2 4 15" xfId="1183"/>
    <cellStyle name="Финансовый 2 4 16" xfId="1184"/>
    <cellStyle name="Финансовый 2 4 17" xfId="1185"/>
    <cellStyle name="Финансовый 2 4 18" xfId="1186"/>
    <cellStyle name="Финансовый 2 4 19" xfId="1187"/>
    <cellStyle name="Финансовый 2 4 2" xfId="1188"/>
    <cellStyle name="Финансовый 2 4 20" xfId="1189"/>
    <cellStyle name="Финансовый 2 4 21" xfId="1190"/>
    <cellStyle name="Финансовый 2 4 22" xfId="1191"/>
    <cellStyle name="Финансовый 2 4 3" xfId="1192"/>
    <cellStyle name="Финансовый 2 4 4" xfId="1193"/>
    <cellStyle name="Финансовый 2 4 5" xfId="1194"/>
    <cellStyle name="Финансовый 2 4 6" xfId="1195"/>
    <cellStyle name="Финансовый 2 4 7" xfId="1196"/>
    <cellStyle name="Финансовый 2 4 8" xfId="1197"/>
    <cellStyle name="Финансовый 2 4 9" xfId="1198"/>
    <cellStyle name="Финансовый 2 5" xfId="1199"/>
    <cellStyle name="Финансовый 2 5 10" xfId="1200"/>
    <cellStyle name="Финансовый 2 5 11" xfId="1201"/>
    <cellStyle name="Финансовый 2 5 12" xfId="1202"/>
    <cellStyle name="Финансовый 2 5 13" xfId="1203"/>
    <cellStyle name="Финансовый 2 5 14" xfId="1204"/>
    <cellStyle name="Финансовый 2 5 15" xfId="1205"/>
    <cellStyle name="Финансовый 2 5 16" xfId="1206"/>
    <cellStyle name="Финансовый 2 5 17" xfId="1207"/>
    <cellStyle name="Финансовый 2 5 18" xfId="1208"/>
    <cellStyle name="Финансовый 2 5 19" xfId="1209"/>
    <cellStyle name="Финансовый 2 5 2" xfId="1210"/>
    <cellStyle name="Финансовый 2 5 20" xfId="1211"/>
    <cellStyle name="Финансовый 2 5 21" xfId="1212"/>
    <cellStyle name="Финансовый 2 5 22" xfId="1213"/>
    <cellStyle name="Финансовый 2 5 3" xfId="1214"/>
    <cellStyle name="Финансовый 2 5 4" xfId="1215"/>
    <cellStyle name="Финансовый 2 5 5" xfId="1216"/>
    <cellStyle name="Финансовый 2 5 6" xfId="1217"/>
    <cellStyle name="Финансовый 2 5 7" xfId="1218"/>
    <cellStyle name="Финансовый 2 5 8" xfId="1219"/>
    <cellStyle name="Финансовый 2 5 9" xfId="1220"/>
    <cellStyle name="Финансовый 2 6" xfId="1221"/>
    <cellStyle name="Финансовый 2 6 10" xfId="1222"/>
    <cellStyle name="Финансовый 2 6 11" xfId="1223"/>
    <cellStyle name="Финансовый 2 6 12" xfId="1224"/>
    <cellStyle name="Финансовый 2 6 13" xfId="1225"/>
    <cellStyle name="Финансовый 2 6 14" xfId="1226"/>
    <cellStyle name="Финансовый 2 6 15" xfId="1227"/>
    <cellStyle name="Финансовый 2 6 16" xfId="1228"/>
    <cellStyle name="Финансовый 2 6 17" xfId="1229"/>
    <cellStyle name="Финансовый 2 6 18" xfId="1230"/>
    <cellStyle name="Финансовый 2 6 19" xfId="1231"/>
    <cellStyle name="Финансовый 2 6 2" xfId="1232"/>
    <cellStyle name="Финансовый 2 6 20" xfId="1233"/>
    <cellStyle name="Финансовый 2 6 21" xfId="1234"/>
    <cellStyle name="Финансовый 2 6 22" xfId="1235"/>
    <cellStyle name="Финансовый 2 6 3" xfId="1236"/>
    <cellStyle name="Финансовый 2 6 4" xfId="1237"/>
    <cellStyle name="Финансовый 2 6 5" xfId="1238"/>
    <cellStyle name="Финансовый 2 6 6" xfId="1239"/>
    <cellStyle name="Финансовый 2 6 7" xfId="1240"/>
    <cellStyle name="Финансовый 2 6 8" xfId="1241"/>
    <cellStyle name="Финансовый 2 6 9" xfId="1242"/>
    <cellStyle name="Финансовый 2 7" xfId="1243"/>
    <cellStyle name="Финансовый 2 8" xfId="1244"/>
    <cellStyle name="Финансовый 2 9" xfId="1245"/>
    <cellStyle name="Финансовый 20" xfId="1246"/>
    <cellStyle name="Финансовый 21" xfId="1247"/>
    <cellStyle name="Финансовый 22" xfId="1248"/>
    <cellStyle name="Финансовый 23" xfId="1249"/>
    <cellStyle name="Финансовый 24" xfId="1250"/>
    <cellStyle name="Финансовый 25" xfId="1251"/>
    <cellStyle name="Финансовый 26" xfId="1252"/>
    <cellStyle name="Финансовый 26 2" xfId="1253"/>
    <cellStyle name="Финансовый 3" xfId="1254"/>
    <cellStyle name="Финансовый 3 2" xfId="1255"/>
    <cellStyle name="Финансовый 3 2 2" xfId="1256"/>
    <cellStyle name="Финансовый 3 2 2 2" xfId="1257"/>
    <cellStyle name="Финансовый 3 2 3" xfId="1258"/>
    <cellStyle name="Финансовый 3 3" xfId="1259"/>
    <cellStyle name="Финансовый 3 3 2" xfId="1260"/>
    <cellStyle name="Финансовый 3 4" xfId="1261"/>
    <cellStyle name="Финансовый 3 4 2" xfId="1262"/>
    <cellStyle name="Финансовый 3 5" xfId="1263"/>
    <cellStyle name="Финансовый 3 6" xfId="1264"/>
    <cellStyle name="Финансовый 4" xfId="1265"/>
    <cellStyle name="Финансовый 4 2" xfId="1266"/>
    <cellStyle name="Финансовый 4 2 2" xfId="1267"/>
    <cellStyle name="Финансовый 4 2_412 Формы для зп на 2016 год  приложение-расчет" xfId="1268"/>
    <cellStyle name="Финансовый 4 3" xfId="1269"/>
    <cellStyle name="Финансовый 4 4" xfId="1270"/>
    <cellStyle name="Финансовый 5" xfId="1271"/>
    <cellStyle name="Финансовый 5 2" xfId="1272"/>
    <cellStyle name="Финансовый 5 2 2" xfId="1273"/>
    <cellStyle name="Финансовый 5 3" xfId="1274"/>
    <cellStyle name="Финансовый 6" xfId="1275"/>
    <cellStyle name="Финансовый 7" xfId="1276"/>
    <cellStyle name="Финансовый 7 10" xfId="1277"/>
    <cellStyle name="Финансовый 7 11" xfId="1278"/>
    <cellStyle name="Финансовый 7 12" xfId="1279"/>
    <cellStyle name="Финансовый 7 13" xfId="1280"/>
    <cellStyle name="Финансовый 7 14" xfId="1281"/>
    <cellStyle name="Финансовый 7 15" xfId="1282"/>
    <cellStyle name="Финансовый 7 16" xfId="1283"/>
    <cellStyle name="Финансовый 7 17" xfId="1284"/>
    <cellStyle name="Финансовый 7 18" xfId="1285"/>
    <cellStyle name="Финансовый 7 19" xfId="1286"/>
    <cellStyle name="Финансовый 7 2" xfId="1287"/>
    <cellStyle name="Финансовый 7 20" xfId="1288"/>
    <cellStyle name="Финансовый 7 21" xfId="1289"/>
    <cellStyle name="Финансовый 7 22" xfId="1290"/>
    <cellStyle name="Финансовый 7 3" xfId="1291"/>
    <cellStyle name="Финансовый 7 4" xfId="1292"/>
    <cellStyle name="Финансовый 7 5" xfId="1293"/>
    <cellStyle name="Финансовый 7 6" xfId="1294"/>
    <cellStyle name="Финансовый 7 7" xfId="1295"/>
    <cellStyle name="Финансовый 7 8" xfId="1296"/>
    <cellStyle name="Финансовый 7 9" xfId="1297"/>
    <cellStyle name="Финансовый 8" xfId="1298"/>
    <cellStyle name="Финансовый 9" xfId="1299"/>
    <cellStyle name="Хороший" xfId="1300"/>
    <cellStyle name="Хороший 2" xfId="1301"/>
    <cellStyle name="Хороший 2 2" xfId="1302"/>
    <cellStyle name="Хороший 2 2 2" xfId="1303"/>
    <cellStyle name="Хороший 2 3" xfId="1304"/>
    <cellStyle name="Хороший 2 3 2" xfId="1305"/>
    <cellStyle name="Хороший 2 4" xfId="1306"/>
    <cellStyle name="Хороший 3" xfId="1307"/>
    <cellStyle name="Хороший 3 2" xfId="13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view="pageBreakPreview" zoomScale="110" zoomScaleSheetLayoutView="110" zoomScalePageLayoutView="0" workbookViewId="0" topLeftCell="A1">
      <selection activeCell="A1" sqref="A1:H16384"/>
    </sheetView>
  </sheetViews>
  <sheetFormatPr defaultColWidth="9.140625" defaultRowHeight="15"/>
  <cols>
    <col min="1" max="1" width="13.140625" style="0" customWidth="1"/>
    <col min="2" max="2" width="18.140625" style="16" customWidth="1"/>
    <col min="3" max="3" width="14.7109375" style="16" customWidth="1"/>
    <col min="4" max="4" width="41.57421875" style="16" customWidth="1"/>
    <col min="5" max="5" width="6.140625" style="16" customWidth="1"/>
    <col min="6" max="6" width="16.421875" style="16" customWidth="1"/>
    <col min="7" max="8" width="13.421875" style="16" customWidth="1"/>
  </cols>
  <sheetData>
    <row r="1" spans="1:8" ht="11.25" customHeight="1">
      <c r="A1" s="11"/>
      <c r="F1" s="582" t="s">
        <v>31</v>
      </c>
      <c r="G1" s="582"/>
      <c r="H1" s="582"/>
    </row>
    <row r="2" spans="1:8" ht="11.25" customHeight="1">
      <c r="A2" s="11"/>
      <c r="F2" s="582" t="s">
        <v>29</v>
      </c>
      <c r="G2" s="582"/>
      <c r="H2" s="582"/>
    </row>
    <row r="3" spans="1:8" ht="11.25" customHeight="1">
      <c r="A3" s="12"/>
      <c r="F3" s="582" t="s">
        <v>27</v>
      </c>
      <c r="G3" s="582"/>
      <c r="H3" s="582"/>
    </row>
    <row r="4" spans="1:8" ht="11.25" customHeight="1">
      <c r="A4" s="12"/>
      <c r="F4" s="582" t="s">
        <v>14</v>
      </c>
      <c r="G4" s="582"/>
      <c r="H4" s="582"/>
    </row>
    <row r="5" spans="1:8" ht="30" customHeight="1">
      <c r="A5" s="13"/>
      <c r="F5" s="589"/>
      <c r="G5" s="589"/>
      <c r="H5" s="589"/>
    </row>
    <row r="6" spans="1:9" ht="27.75" customHeight="1">
      <c r="A6" s="90"/>
      <c r="B6" s="90"/>
      <c r="C6" s="90"/>
      <c r="D6" s="578"/>
      <c r="E6" s="578"/>
      <c r="F6" s="578"/>
      <c r="G6" s="578"/>
      <c r="H6" s="1"/>
      <c r="I6" s="7"/>
    </row>
    <row r="7" spans="1:9" ht="15" customHeight="1">
      <c r="A7" s="90"/>
      <c r="B7" s="90"/>
      <c r="C7" s="90"/>
      <c r="D7" s="91"/>
      <c r="E7" s="580" t="s">
        <v>15</v>
      </c>
      <c r="F7" s="580"/>
      <c r="G7" s="580"/>
      <c r="H7" s="580"/>
      <c r="I7" s="7"/>
    </row>
    <row r="8" spans="1:9" ht="15.75">
      <c r="A8" s="90"/>
      <c r="B8" s="90"/>
      <c r="C8" s="90"/>
      <c r="D8" s="91"/>
      <c r="E8" s="588" t="s">
        <v>486</v>
      </c>
      <c r="F8" s="588"/>
      <c r="G8" s="588"/>
      <c r="H8" s="588"/>
      <c r="I8" s="7"/>
    </row>
    <row r="9" spans="1:9" ht="15" customHeight="1">
      <c r="A9" s="91"/>
      <c r="B9" s="91"/>
      <c r="C9" s="91"/>
      <c r="D9" s="91"/>
      <c r="E9" s="583" t="s">
        <v>16</v>
      </c>
      <c r="F9" s="583"/>
      <c r="G9" s="583"/>
      <c r="H9" s="583"/>
      <c r="I9" s="590"/>
    </row>
    <row r="10" spans="1:9" ht="15" customHeight="1">
      <c r="A10" s="91"/>
      <c r="B10" s="91"/>
      <c r="C10" s="91"/>
      <c r="D10" s="91"/>
      <c r="E10" s="93"/>
      <c r="F10" s="93"/>
      <c r="G10" s="588" t="s">
        <v>487</v>
      </c>
      <c r="H10" s="588"/>
      <c r="I10" s="590"/>
    </row>
    <row r="11" spans="1:9" ht="16.5" customHeight="1">
      <c r="A11" s="90"/>
      <c r="B11" s="90"/>
      <c r="C11" s="90"/>
      <c r="D11" s="91"/>
      <c r="E11" s="583" t="s">
        <v>11</v>
      </c>
      <c r="F11" s="583"/>
      <c r="G11" s="584" t="s">
        <v>12</v>
      </c>
      <c r="H11" s="584"/>
      <c r="I11" s="7"/>
    </row>
    <row r="12" spans="1:9" ht="22.5" customHeight="1">
      <c r="A12" s="90"/>
      <c r="B12" s="90"/>
      <c r="C12" s="90"/>
      <c r="D12" s="91"/>
      <c r="E12" s="580" t="s">
        <v>961</v>
      </c>
      <c r="F12" s="580"/>
      <c r="G12" s="580"/>
      <c r="H12" s="580"/>
      <c r="I12" s="4"/>
    </row>
    <row r="13" spans="1:9" ht="17.25" customHeight="1">
      <c r="A13" s="574" t="s">
        <v>17</v>
      </c>
      <c r="B13" s="574"/>
      <c r="C13" s="574"/>
      <c r="D13" s="574"/>
      <c r="E13" s="574"/>
      <c r="F13" s="574"/>
      <c r="G13" s="574"/>
      <c r="H13" s="574"/>
      <c r="I13" s="591"/>
    </row>
    <row r="14" spans="1:9" ht="15" customHeight="1">
      <c r="A14" s="574" t="s">
        <v>394</v>
      </c>
      <c r="B14" s="574"/>
      <c r="C14" s="574"/>
      <c r="D14" s="574"/>
      <c r="E14" s="574"/>
      <c r="F14" s="574"/>
      <c r="G14" s="574"/>
      <c r="H14" s="574"/>
      <c r="I14" s="591"/>
    </row>
    <row r="15" spans="1:9" ht="15" customHeight="1">
      <c r="A15" s="574" t="s">
        <v>433</v>
      </c>
      <c r="B15" s="574"/>
      <c r="C15" s="574"/>
      <c r="D15" s="574"/>
      <c r="E15" s="574"/>
      <c r="F15" s="574"/>
      <c r="G15" s="574"/>
      <c r="H15" s="574"/>
      <c r="I15" s="591"/>
    </row>
    <row r="16" spans="1:9" ht="12" customHeight="1">
      <c r="A16" s="574"/>
      <c r="B16" s="574"/>
      <c r="C16" s="574"/>
      <c r="D16" s="574"/>
      <c r="E16" s="574"/>
      <c r="F16" s="574"/>
      <c r="G16" s="574"/>
      <c r="H16" s="574"/>
      <c r="I16" s="591"/>
    </row>
    <row r="17" spans="1:9" ht="18.75" customHeight="1">
      <c r="A17" s="2"/>
      <c r="B17" s="2"/>
      <c r="C17" s="2"/>
      <c r="D17" s="182">
        <v>43670</v>
      </c>
      <c r="E17" s="574"/>
      <c r="F17" s="594"/>
      <c r="G17" s="595" t="s">
        <v>18</v>
      </c>
      <c r="H17" s="595"/>
      <c r="I17" s="3"/>
    </row>
    <row r="18" spans="1:9" ht="27.75" customHeight="1">
      <c r="A18" s="2"/>
      <c r="B18" s="2"/>
      <c r="C18" s="2"/>
      <c r="D18" s="2"/>
      <c r="E18" s="586" t="s">
        <v>28</v>
      </c>
      <c r="F18" s="587"/>
      <c r="G18" s="597"/>
      <c r="H18" s="598"/>
      <c r="I18" s="15"/>
    </row>
    <row r="19" spans="1:9" ht="17.25" customHeight="1">
      <c r="A19" s="94"/>
      <c r="B19" s="2"/>
      <c r="C19" s="2"/>
      <c r="D19" s="2"/>
      <c r="E19" s="586" t="s">
        <v>431</v>
      </c>
      <c r="F19" s="587"/>
      <c r="G19" s="596">
        <f>D17</f>
        <v>43670</v>
      </c>
      <c r="H19" s="596"/>
      <c r="I19" s="4"/>
    </row>
    <row r="20" spans="1:9" ht="17.25" customHeight="1">
      <c r="A20" s="91"/>
      <c r="B20" s="90"/>
      <c r="C20" s="91"/>
      <c r="D20" s="1"/>
      <c r="E20" s="586" t="s">
        <v>19</v>
      </c>
      <c r="F20" s="587"/>
      <c r="G20" s="599" t="s">
        <v>490</v>
      </c>
      <c r="H20" s="600"/>
      <c r="I20" s="14"/>
    </row>
    <row r="21" spans="1:9" ht="30.75" customHeight="1">
      <c r="A21" s="91"/>
      <c r="B21" s="90"/>
      <c r="C21" s="91"/>
      <c r="D21" s="1"/>
      <c r="E21" s="6"/>
      <c r="F21" s="5" t="s">
        <v>395</v>
      </c>
      <c r="G21" s="592"/>
      <c r="H21" s="593"/>
      <c r="I21" s="14"/>
    </row>
    <row r="22" spans="1:9" ht="30.75" customHeight="1">
      <c r="A22" s="91"/>
      <c r="B22" s="90"/>
      <c r="C22" s="91"/>
      <c r="D22" s="1"/>
      <c r="E22" s="6"/>
      <c r="F22" s="5" t="s">
        <v>396</v>
      </c>
      <c r="G22" s="592"/>
      <c r="H22" s="593"/>
      <c r="I22" s="14"/>
    </row>
    <row r="23" spans="1:9" ht="17.25" customHeight="1">
      <c r="A23" s="91"/>
      <c r="B23" s="90"/>
      <c r="C23" s="91"/>
      <c r="D23" s="1"/>
      <c r="E23" s="586" t="s">
        <v>20</v>
      </c>
      <c r="F23" s="587"/>
      <c r="G23" s="575">
        <v>383</v>
      </c>
      <c r="H23" s="575"/>
      <c r="I23" s="14"/>
    </row>
    <row r="24" spans="1:9" ht="30.75" customHeight="1">
      <c r="A24" s="576" t="s">
        <v>488</v>
      </c>
      <c r="B24" s="576"/>
      <c r="C24" s="576"/>
      <c r="D24" s="576"/>
      <c r="E24" s="576"/>
      <c r="F24" s="576"/>
      <c r="G24" s="576"/>
      <c r="H24" s="576"/>
      <c r="I24" s="14"/>
    </row>
    <row r="25" spans="1:9" ht="9" customHeight="1">
      <c r="A25" s="91"/>
      <c r="B25" s="91"/>
      <c r="C25" s="91"/>
      <c r="D25" s="91"/>
      <c r="E25" s="91"/>
      <c r="F25" s="91"/>
      <c r="G25" s="91"/>
      <c r="H25" s="91"/>
      <c r="I25" s="14"/>
    </row>
    <row r="26" spans="1:9" ht="15" customHeight="1">
      <c r="A26" s="91" t="s">
        <v>30</v>
      </c>
      <c r="B26" s="577" t="s">
        <v>489</v>
      </c>
      <c r="C26" s="577"/>
      <c r="D26" s="577"/>
      <c r="E26" s="91"/>
      <c r="F26" s="91"/>
      <c r="G26" s="91"/>
      <c r="H26" s="91"/>
      <c r="I26" s="7"/>
    </row>
    <row r="27" spans="1:9" s="84" customFormat="1" ht="17.25" customHeight="1">
      <c r="A27" s="568" t="s">
        <v>430</v>
      </c>
      <c r="B27" s="568"/>
      <c r="C27" s="568"/>
      <c r="D27" s="568"/>
      <c r="E27" s="568"/>
      <c r="F27" s="568"/>
      <c r="G27" s="568"/>
      <c r="H27" s="568"/>
      <c r="I27" s="83"/>
    </row>
    <row r="28" spans="1:9" s="84" customFormat="1" ht="17.25" customHeight="1">
      <c r="A28" s="568" t="s">
        <v>515</v>
      </c>
      <c r="B28" s="568"/>
      <c r="C28" s="568"/>
      <c r="D28" s="568"/>
      <c r="E28" s="568"/>
      <c r="F28" s="568"/>
      <c r="G28" s="568"/>
      <c r="H28" s="568"/>
      <c r="I28" s="83"/>
    </row>
    <row r="29" spans="1:9" ht="15.75" customHeight="1">
      <c r="A29" s="580" t="s">
        <v>21</v>
      </c>
      <c r="B29" s="580"/>
      <c r="C29" s="91"/>
      <c r="D29" s="1"/>
      <c r="E29" s="578"/>
      <c r="F29" s="578"/>
      <c r="G29" s="576"/>
      <c r="H29" s="576"/>
      <c r="I29" s="14"/>
    </row>
    <row r="30" spans="1:9" ht="21" customHeight="1">
      <c r="A30" s="580" t="s">
        <v>22</v>
      </c>
      <c r="B30" s="580"/>
      <c r="C30" s="580"/>
      <c r="D30" s="580"/>
      <c r="E30" s="580"/>
      <c r="F30" s="580"/>
      <c r="G30" s="95"/>
      <c r="H30" s="95"/>
      <c r="I30" s="4"/>
    </row>
    <row r="31" spans="1:9" ht="15" customHeight="1">
      <c r="A31" s="585" t="s">
        <v>23</v>
      </c>
      <c r="B31" s="585"/>
      <c r="C31" s="585"/>
      <c r="D31" s="585"/>
      <c r="E31" s="585"/>
      <c r="F31" s="585"/>
      <c r="G31" s="96"/>
      <c r="H31" s="95"/>
      <c r="I31" s="4"/>
    </row>
    <row r="32" spans="1:8" ht="0.75" customHeight="1">
      <c r="A32" s="97"/>
      <c r="B32" s="98"/>
      <c r="C32" s="98"/>
      <c r="D32" s="98"/>
      <c r="E32" s="98"/>
      <c r="F32" s="98"/>
      <c r="G32" s="98"/>
      <c r="H32" s="98"/>
    </row>
    <row r="33" spans="1:8" ht="39" customHeight="1">
      <c r="A33" s="580" t="s">
        <v>132</v>
      </c>
      <c r="B33" s="580"/>
      <c r="C33" s="580"/>
      <c r="D33" s="570" t="s">
        <v>491</v>
      </c>
      <c r="E33" s="570"/>
      <c r="F33" s="570"/>
      <c r="G33" s="570"/>
      <c r="H33" s="98"/>
    </row>
    <row r="34" spans="1:8" ht="18" customHeight="1">
      <c r="A34" s="92"/>
      <c r="B34" s="92"/>
      <c r="C34" s="92"/>
      <c r="D34" s="99"/>
      <c r="E34" s="99"/>
      <c r="F34" s="99"/>
      <c r="G34" s="99"/>
      <c r="H34" s="98"/>
    </row>
    <row r="35" spans="1:8" ht="15" customHeight="1">
      <c r="A35" s="569" t="s">
        <v>24</v>
      </c>
      <c r="B35" s="569"/>
      <c r="C35" s="569"/>
      <c r="D35" s="569"/>
      <c r="E35" s="569"/>
      <c r="F35" s="569"/>
      <c r="G35" s="569"/>
      <c r="H35" s="569"/>
    </row>
    <row r="36" spans="1:8" ht="16.5" customHeight="1">
      <c r="A36" s="581" t="s">
        <v>25</v>
      </c>
      <c r="B36" s="581"/>
      <c r="C36" s="581"/>
      <c r="D36" s="581"/>
      <c r="E36" s="100"/>
      <c r="F36" s="100"/>
      <c r="G36" s="100"/>
      <c r="H36" s="100"/>
    </row>
    <row r="37" spans="1:8" ht="28.5" customHeight="1">
      <c r="A37" s="579" t="s">
        <v>492</v>
      </c>
      <c r="B37" s="579"/>
      <c r="C37" s="579"/>
      <c r="D37" s="579"/>
      <c r="E37" s="579"/>
      <c r="F37" s="579"/>
      <c r="G37" s="579"/>
      <c r="H37" s="579"/>
    </row>
    <row r="38" spans="1:8" ht="19.5" customHeight="1">
      <c r="A38" s="581" t="s">
        <v>26</v>
      </c>
      <c r="B38" s="581"/>
      <c r="C38" s="581"/>
      <c r="D38" s="581"/>
      <c r="E38" s="100"/>
      <c r="F38" s="100"/>
      <c r="G38" s="100"/>
      <c r="H38" s="100"/>
    </row>
    <row r="39" spans="1:7" s="101" customFormat="1" ht="18" customHeight="1">
      <c r="A39" s="567" t="s">
        <v>493</v>
      </c>
      <c r="B39" s="567"/>
      <c r="C39" s="567"/>
      <c r="D39" s="567"/>
      <c r="E39" s="567" t="s">
        <v>494</v>
      </c>
      <c r="F39" s="567"/>
      <c r="G39" s="567"/>
    </row>
    <row r="40" spans="1:7" s="101" customFormat="1" ht="18" customHeight="1">
      <c r="A40" s="567" t="s">
        <v>495</v>
      </c>
      <c r="B40" s="567"/>
      <c r="C40" s="567"/>
      <c r="D40" s="567"/>
      <c r="E40" s="567" t="s">
        <v>496</v>
      </c>
      <c r="F40" s="567"/>
      <c r="G40" s="567"/>
    </row>
    <row r="41" spans="1:7" s="101" customFormat="1" ht="18" customHeight="1">
      <c r="A41" s="567" t="s">
        <v>497</v>
      </c>
      <c r="B41" s="567"/>
      <c r="C41" s="567"/>
      <c r="D41" s="567"/>
      <c r="E41" s="567" t="s">
        <v>498</v>
      </c>
      <c r="F41" s="567"/>
      <c r="G41" s="567"/>
    </row>
    <row r="42" spans="1:7" s="101" customFormat="1" ht="18" customHeight="1">
      <c r="A42" s="567" t="s">
        <v>499</v>
      </c>
      <c r="B42" s="567"/>
      <c r="C42" s="567"/>
      <c r="D42" s="567"/>
      <c r="E42" s="567" t="s">
        <v>500</v>
      </c>
      <c r="F42" s="567"/>
      <c r="G42" s="567"/>
    </row>
    <row r="43" spans="1:7" s="101" customFormat="1" ht="18" customHeight="1">
      <c r="A43" s="567" t="s">
        <v>510</v>
      </c>
      <c r="B43" s="567"/>
      <c r="C43" s="567"/>
      <c r="D43" s="567"/>
      <c r="E43" s="567" t="s">
        <v>501</v>
      </c>
      <c r="F43" s="567"/>
      <c r="G43" s="567"/>
    </row>
    <row r="44" spans="1:7" s="101" customFormat="1" ht="18" customHeight="1">
      <c r="A44" s="567" t="s">
        <v>502</v>
      </c>
      <c r="B44" s="567"/>
      <c r="C44" s="567"/>
      <c r="D44" s="567"/>
      <c r="E44" s="567" t="s">
        <v>503</v>
      </c>
      <c r="F44" s="567"/>
      <c r="G44" s="567"/>
    </row>
    <row r="45" spans="1:7" s="101" customFormat="1" ht="32.25" customHeight="1">
      <c r="A45" s="567" t="s">
        <v>504</v>
      </c>
      <c r="B45" s="567"/>
      <c r="C45" s="567"/>
      <c r="D45" s="567"/>
      <c r="E45" s="567" t="s">
        <v>505</v>
      </c>
      <c r="F45" s="567"/>
      <c r="G45" s="567"/>
    </row>
    <row r="46" spans="1:7" s="101" customFormat="1" ht="18" customHeight="1">
      <c r="A46" s="567" t="s">
        <v>506</v>
      </c>
      <c r="B46" s="567"/>
      <c r="C46" s="567"/>
      <c r="D46" s="567"/>
      <c r="E46" s="567" t="s">
        <v>507</v>
      </c>
      <c r="F46" s="567"/>
      <c r="G46" s="567"/>
    </row>
    <row r="47" spans="1:7" s="101" customFormat="1" ht="18" customHeight="1">
      <c r="A47" s="567" t="s">
        <v>508</v>
      </c>
      <c r="B47" s="567"/>
      <c r="C47" s="567"/>
      <c r="D47" s="567"/>
      <c r="E47" s="567" t="s">
        <v>509</v>
      </c>
      <c r="F47" s="567"/>
      <c r="G47" s="567"/>
    </row>
    <row r="48" spans="1:8" s="18" customFormat="1" ht="30.75" customHeight="1">
      <c r="A48" s="601" t="s">
        <v>135</v>
      </c>
      <c r="B48" s="601"/>
      <c r="C48" s="601"/>
      <c r="D48" s="601"/>
      <c r="E48" s="601"/>
      <c r="F48" s="601"/>
      <c r="G48" s="601"/>
      <c r="H48" s="601"/>
    </row>
    <row r="49" spans="1:7" s="101" customFormat="1" ht="18" customHeight="1">
      <c r="A49" s="566" t="s">
        <v>511</v>
      </c>
      <c r="B49" s="566"/>
      <c r="C49" s="566"/>
      <c r="D49" s="566"/>
      <c r="E49" s="566"/>
      <c r="F49" s="566"/>
      <c r="G49" s="566"/>
    </row>
    <row r="50" spans="1:7" s="101" customFormat="1" ht="18" customHeight="1">
      <c r="A50" s="566" t="s">
        <v>512</v>
      </c>
      <c r="B50" s="566"/>
      <c r="C50" s="566"/>
      <c r="D50" s="566"/>
      <c r="E50" s="566"/>
      <c r="F50" s="566"/>
      <c r="G50" s="566"/>
    </row>
    <row r="51" spans="1:7" s="101" customFormat="1" ht="18" customHeight="1">
      <c r="A51" s="566" t="s">
        <v>513</v>
      </c>
      <c r="B51" s="566"/>
      <c r="C51" s="566"/>
      <c r="D51" s="566"/>
      <c r="E51" s="566"/>
      <c r="F51" s="566"/>
      <c r="G51" s="566"/>
    </row>
    <row r="52" spans="1:7" s="101" customFormat="1" ht="18" customHeight="1">
      <c r="A52" s="566" t="s">
        <v>514</v>
      </c>
      <c r="B52" s="566"/>
      <c r="C52" s="566"/>
      <c r="D52" s="566"/>
      <c r="E52" s="566"/>
      <c r="F52" s="566"/>
      <c r="G52" s="566"/>
    </row>
    <row r="53" spans="1:256" s="18" customFormat="1" ht="19.5" customHeight="1">
      <c r="A53" s="573" t="s">
        <v>537</v>
      </c>
      <c r="B53" s="573"/>
      <c r="C53" s="573"/>
      <c r="D53" s="573"/>
      <c r="E53" s="573"/>
      <c r="F53" s="573"/>
      <c r="G53" s="573"/>
      <c r="H53" s="573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  <c r="AC53" s="572"/>
      <c r="AD53" s="572"/>
      <c r="AE53" s="572"/>
      <c r="AF53" s="572"/>
      <c r="AG53" s="572"/>
      <c r="AH53" s="572"/>
      <c r="AI53" s="572"/>
      <c r="AJ53" s="572"/>
      <c r="AK53" s="572"/>
      <c r="AL53" s="572"/>
      <c r="AM53" s="572"/>
      <c r="AN53" s="572"/>
      <c r="AO53" s="572"/>
      <c r="AP53" s="572"/>
      <c r="AQ53" s="572"/>
      <c r="AR53" s="572"/>
      <c r="AS53" s="572"/>
      <c r="AT53" s="572"/>
      <c r="AU53" s="572"/>
      <c r="AV53" s="572"/>
      <c r="AW53" s="572"/>
      <c r="AX53" s="572"/>
      <c r="AY53" s="572"/>
      <c r="AZ53" s="572"/>
      <c r="BA53" s="572"/>
      <c r="BB53" s="572"/>
      <c r="BC53" s="572"/>
      <c r="BD53" s="572"/>
      <c r="BE53" s="572"/>
      <c r="BF53" s="572"/>
      <c r="BG53" s="572"/>
      <c r="BH53" s="572"/>
      <c r="BI53" s="572"/>
      <c r="BJ53" s="572"/>
      <c r="BK53" s="572"/>
      <c r="BL53" s="572"/>
      <c r="BM53" s="572"/>
      <c r="BN53" s="572"/>
      <c r="BO53" s="572"/>
      <c r="BP53" s="572"/>
      <c r="BQ53" s="572"/>
      <c r="BR53" s="572"/>
      <c r="BS53" s="572"/>
      <c r="BT53" s="572"/>
      <c r="BU53" s="572"/>
      <c r="BV53" s="572"/>
      <c r="BW53" s="572"/>
      <c r="BX53" s="572"/>
      <c r="BY53" s="572"/>
      <c r="BZ53" s="572"/>
      <c r="CA53" s="572"/>
      <c r="CB53" s="572"/>
      <c r="CC53" s="572"/>
      <c r="CD53" s="572"/>
      <c r="CE53" s="572"/>
      <c r="CF53" s="572"/>
      <c r="CG53" s="572"/>
      <c r="CH53" s="572"/>
      <c r="CI53" s="572"/>
      <c r="CJ53" s="572"/>
      <c r="CK53" s="572"/>
      <c r="CL53" s="572"/>
      <c r="CM53" s="572"/>
      <c r="CN53" s="572"/>
      <c r="CO53" s="572"/>
      <c r="CP53" s="572"/>
      <c r="CQ53" s="572"/>
      <c r="CR53" s="572"/>
      <c r="CS53" s="572"/>
      <c r="CT53" s="572"/>
      <c r="CU53" s="572"/>
      <c r="CV53" s="572"/>
      <c r="CW53" s="572"/>
      <c r="CX53" s="572"/>
      <c r="CY53" s="572"/>
      <c r="CZ53" s="572"/>
      <c r="DA53" s="572"/>
      <c r="DB53" s="572"/>
      <c r="DC53" s="572"/>
      <c r="DD53" s="572"/>
      <c r="DE53" s="572"/>
      <c r="DF53" s="572"/>
      <c r="DG53" s="572"/>
      <c r="DH53" s="572"/>
      <c r="DI53" s="572"/>
      <c r="DJ53" s="572"/>
      <c r="DK53" s="572"/>
      <c r="DL53" s="572"/>
      <c r="DM53" s="572"/>
      <c r="DN53" s="572"/>
      <c r="DO53" s="572"/>
      <c r="DP53" s="572"/>
      <c r="DQ53" s="572"/>
      <c r="DR53" s="572"/>
      <c r="DS53" s="572"/>
      <c r="DT53" s="572"/>
      <c r="DU53" s="572"/>
      <c r="DV53" s="572"/>
      <c r="DW53" s="572"/>
      <c r="DX53" s="572"/>
      <c r="DY53" s="572"/>
      <c r="DZ53" s="572"/>
      <c r="EA53" s="572"/>
      <c r="EB53" s="572"/>
      <c r="EC53" s="572"/>
      <c r="ED53" s="572"/>
      <c r="EE53" s="572"/>
      <c r="EF53" s="572"/>
      <c r="EG53" s="572"/>
      <c r="EH53" s="572"/>
      <c r="EI53" s="572"/>
      <c r="EJ53" s="572"/>
      <c r="EK53" s="572"/>
      <c r="EL53" s="572"/>
      <c r="EM53" s="572"/>
      <c r="EN53" s="572"/>
      <c r="EO53" s="572"/>
      <c r="EP53" s="572"/>
      <c r="EQ53" s="572"/>
      <c r="ER53" s="572"/>
      <c r="ES53" s="572"/>
      <c r="ET53" s="572"/>
      <c r="EU53" s="572"/>
      <c r="EV53" s="572"/>
      <c r="EW53" s="572"/>
      <c r="EX53" s="572"/>
      <c r="EY53" s="572"/>
      <c r="EZ53" s="572"/>
      <c r="FA53" s="572"/>
      <c r="FB53" s="572"/>
      <c r="FC53" s="572"/>
      <c r="FD53" s="572"/>
      <c r="FE53" s="572"/>
      <c r="FF53" s="572"/>
      <c r="FG53" s="572"/>
      <c r="FH53" s="572"/>
      <c r="FI53" s="572"/>
      <c r="FJ53" s="572"/>
      <c r="FK53" s="572"/>
      <c r="FL53" s="572"/>
      <c r="FM53" s="572"/>
      <c r="FN53" s="572"/>
      <c r="FO53" s="572"/>
      <c r="FP53" s="572"/>
      <c r="FQ53" s="572"/>
      <c r="FR53" s="572"/>
      <c r="FS53" s="572"/>
      <c r="FT53" s="572"/>
      <c r="FU53" s="572"/>
      <c r="FV53" s="572"/>
      <c r="FW53" s="572"/>
      <c r="FX53" s="572"/>
      <c r="FY53" s="572"/>
      <c r="FZ53" s="572"/>
      <c r="GA53" s="572"/>
      <c r="GB53" s="572"/>
      <c r="GC53" s="572"/>
      <c r="GD53" s="572"/>
      <c r="GE53" s="572"/>
      <c r="GF53" s="572"/>
      <c r="GG53" s="572"/>
      <c r="GH53" s="572"/>
      <c r="GI53" s="572"/>
      <c r="GJ53" s="572"/>
      <c r="GK53" s="572"/>
      <c r="GL53" s="572"/>
      <c r="GM53" s="572"/>
      <c r="GN53" s="572"/>
      <c r="GO53" s="572"/>
      <c r="GP53" s="572"/>
      <c r="GQ53" s="572"/>
      <c r="GR53" s="572"/>
      <c r="GS53" s="572"/>
      <c r="GT53" s="572"/>
      <c r="GU53" s="572"/>
      <c r="GV53" s="572"/>
      <c r="GW53" s="572"/>
      <c r="GX53" s="572"/>
      <c r="GY53" s="572"/>
      <c r="GZ53" s="572"/>
      <c r="HA53" s="572"/>
      <c r="HB53" s="572"/>
      <c r="HC53" s="572"/>
      <c r="HD53" s="572"/>
      <c r="HE53" s="572"/>
      <c r="HF53" s="572"/>
      <c r="HG53" s="572"/>
      <c r="HH53" s="572"/>
      <c r="HI53" s="572"/>
      <c r="HJ53" s="572"/>
      <c r="HK53" s="572"/>
      <c r="HL53" s="572"/>
      <c r="HM53" s="572"/>
      <c r="HN53" s="572"/>
      <c r="HO53" s="572"/>
      <c r="HP53" s="572"/>
      <c r="HQ53" s="572"/>
      <c r="HR53" s="572"/>
      <c r="HS53" s="572"/>
      <c r="HT53" s="572"/>
      <c r="HU53" s="572"/>
      <c r="HV53" s="572"/>
      <c r="HW53" s="572"/>
      <c r="HX53" s="572"/>
      <c r="HY53" s="572"/>
      <c r="HZ53" s="572"/>
      <c r="IA53" s="572"/>
      <c r="IB53" s="572"/>
      <c r="IC53" s="572"/>
      <c r="ID53" s="572"/>
      <c r="IE53" s="572"/>
      <c r="IF53" s="572"/>
      <c r="IG53" s="572"/>
      <c r="IH53" s="572"/>
      <c r="II53" s="572"/>
      <c r="IJ53" s="572"/>
      <c r="IK53" s="572"/>
      <c r="IL53" s="572"/>
      <c r="IM53" s="572"/>
      <c r="IN53" s="572"/>
      <c r="IO53" s="572"/>
      <c r="IP53" s="572"/>
      <c r="IQ53" s="572"/>
      <c r="IR53" s="572"/>
      <c r="IS53" s="572"/>
      <c r="IT53" s="572"/>
      <c r="IU53" s="572"/>
      <c r="IV53" s="572"/>
    </row>
    <row r="54" spans="1:256" s="18" customFormat="1" ht="15.75" customHeight="1">
      <c r="A54" s="573" t="s">
        <v>536</v>
      </c>
      <c r="B54" s="573"/>
      <c r="C54" s="573"/>
      <c r="D54" s="573"/>
      <c r="E54" s="573"/>
      <c r="F54" s="573"/>
      <c r="G54" s="573"/>
      <c r="H54" s="573"/>
      <c r="I54" s="572"/>
      <c r="J54" s="572"/>
      <c r="K54" s="572"/>
      <c r="L54" s="572"/>
      <c r="M54" s="572"/>
      <c r="N54" s="572"/>
      <c r="O54" s="572"/>
      <c r="P54" s="572"/>
      <c r="Q54" s="572"/>
      <c r="R54" s="572"/>
      <c r="S54" s="572"/>
      <c r="T54" s="572"/>
      <c r="U54" s="572"/>
      <c r="V54" s="572"/>
      <c r="W54" s="572"/>
      <c r="X54" s="572"/>
      <c r="Y54" s="572"/>
      <c r="Z54" s="572"/>
      <c r="AA54" s="572"/>
      <c r="AB54" s="572"/>
      <c r="AC54" s="572"/>
      <c r="AD54" s="572"/>
      <c r="AE54" s="572"/>
      <c r="AF54" s="572"/>
      <c r="AG54" s="572"/>
      <c r="AH54" s="572"/>
      <c r="AI54" s="572"/>
      <c r="AJ54" s="572"/>
      <c r="AK54" s="572"/>
      <c r="AL54" s="572"/>
      <c r="AM54" s="572"/>
      <c r="AN54" s="572"/>
      <c r="AO54" s="572"/>
      <c r="AP54" s="572"/>
      <c r="AQ54" s="572"/>
      <c r="AR54" s="572"/>
      <c r="AS54" s="572"/>
      <c r="AT54" s="572"/>
      <c r="AU54" s="572"/>
      <c r="AV54" s="572"/>
      <c r="AW54" s="572"/>
      <c r="AX54" s="572"/>
      <c r="AY54" s="572"/>
      <c r="AZ54" s="572"/>
      <c r="BA54" s="572"/>
      <c r="BB54" s="572"/>
      <c r="BC54" s="572"/>
      <c r="BD54" s="572"/>
      <c r="BE54" s="572"/>
      <c r="BF54" s="572"/>
      <c r="BG54" s="572"/>
      <c r="BH54" s="572"/>
      <c r="BI54" s="572"/>
      <c r="BJ54" s="572"/>
      <c r="BK54" s="572"/>
      <c r="BL54" s="572"/>
      <c r="BM54" s="572"/>
      <c r="BN54" s="572"/>
      <c r="BO54" s="572"/>
      <c r="BP54" s="572"/>
      <c r="BQ54" s="572"/>
      <c r="BR54" s="572"/>
      <c r="BS54" s="572"/>
      <c r="BT54" s="572"/>
      <c r="BU54" s="572"/>
      <c r="BV54" s="572"/>
      <c r="BW54" s="572"/>
      <c r="BX54" s="572"/>
      <c r="BY54" s="572"/>
      <c r="BZ54" s="572"/>
      <c r="CA54" s="572"/>
      <c r="CB54" s="572"/>
      <c r="CC54" s="572"/>
      <c r="CD54" s="572"/>
      <c r="CE54" s="572"/>
      <c r="CF54" s="572"/>
      <c r="CG54" s="572"/>
      <c r="CH54" s="572"/>
      <c r="CI54" s="572"/>
      <c r="CJ54" s="572"/>
      <c r="CK54" s="572"/>
      <c r="CL54" s="572"/>
      <c r="CM54" s="572"/>
      <c r="CN54" s="572"/>
      <c r="CO54" s="572"/>
      <c r="CP54" s="572"/>
      <c r="CQ54" s="572"/>
      <c r="CR54" s="572"/>
      <c r="CS54" s="572"/>
      <c r="CT54" s="572"/>
      <c r="CU54" s="572"/>
      <c r="CV54" s="572"/>
      <c r="CW54" s="572"/>
      <c r="CX54" s="572"/>
      <c r="CY54" s="572"/>
      <c r="CZ54" s="572"/>
      <c r="DA54" s="572"/>
      <c r="DB54" s="572"/>
      <c r="DC54" s="572"/>
      <c r="DD54" s="572"/>
      <c r="DE54" s="572"/>
      <c r="DF54" s="572"/>
      <c r="DG54" s="572"/>
      <c r="DH54" s="572"/>
      <c r="DI54" s="572"/>
      <c r="DJ54" s="572"/>
      <c r="DK54" s="572"/>
      <c r="DL54" s="572"/>
      <c r="DM54" s="572"/>
      <c r="DN54" s="572"/>
      <c r="DO54" s="572"/>
      <c r="DP54" s="572"/>
      <c r="DQ54" s="572"/>
      <c r="DR54" s="572"/>
      <c r="DS54" s="572"/>
      <c r="DT54" s="572"/>
      <c r="DU54" s="572"/>
      <c r="DV54" s="572"/>
      <c r="DW54" s="572"/>
      <c r="DX54" s="572"/>
      <c r="DY54" s="572"/>
      <c r="DZ54" s="572"/>
      <c r="EA54" s="572"/>
      <c r="EB54" s="572"/>
      <c r="EC54" s="572"/>
      <c r="ED54" s="572"/>
      <c r="EE54" s="572"/>
      <c r="EF54" s="572"/>
      <c r="EG54" s="572"/>
      <c r="EH54" s="572"/>
      <c r="EI54" s="572"/>
      <c r="EJ54" s="572"/>
      <c r="EK54" s="572"/>
      <c r="EL54" s="572"/>
      <c r="EM54" s="572"/>
      <c r="EN54" s="572"/>
      <c r="EO54" s="572"/>
      <c r="EP54" s="572"/>
      <c r="EQ54" s="572"/>
      <c r="ER54" s="572"/>
      <c r="ES54" s="572"/>
      <c r="ET54" s="572"/>
      <c r="EU54" s="572"/>
      <c r="EV54" s="572"/>
      <c r="EW54" s="572"/>
      <c r="EX54" s="572"/>
      <c r="EY54" s="572"/>
      <c r="EZ54" s="572"/>
      <c r="FA54" s="572"/>
      <c r="FB54" s="572"/>
      <c r="FC54" s="572"/>
      <c r="FD54" s="572"/>
      <c r="FE54" s="572"/>
      <c r="FF54" s="572"/>
      <c r="FG54" s="572"/>
      <c r="FH54" s="572"/>
      <c r="FI54" s="572"/>
      <c r="FJ54" s="572"/>
      <c r="FK54" s="572"/>
      <c r="FL54" s="572"/>
      <c r="FM54" s="572"/>
      <c r="FN54" s="572"/>
      <c r="FO54" s="572"/>
      <c r="FP54" s="572"/>
      <c r="FQ54" s="572"/>
      <c r="FR54" s="572"/>
      <c r="FS54" s="572"/>
      <c r="FT54" s="572"/>
      <c r="FU54" s="572"/>
      <c r="FV54" s="572"/>
      <c r="FW54" s="572"/>
      <c r="FX54" s="572"/>
      <c r="FY54" s="572"/>
      <c r="FZ54" s="572"/>
      <c r="GA54" s="572"/>
      <c r="GB54" s="572"/>
      <c r="GC54" s="572"/>
      <c r="GD54" s="572"/>
      <c r="GE54" s="572"/>
      <c r="GF54" s="572"/>
      <c r="GG54" s="572"/>
      <c r="GH54" s="572"/>
      <c r="GI54" s="572"/>
      <c r="GJ54" s="572"/>
      <c r="GK54" s="572"/>
      <c r="GL54" s="572"/>
      <c r="GM54" s="572"/>
      <c r="GN54" s="572"/>
      <c r="GO54" s="572"/>
      <c r="GP54" s="572"/>
      <c r="GQ54" s="572"/>
      <c r="GR54" s="572"/>
      <c r="GS54" s="572"/>
      <c r="GT54" s="572"/>
      <c r="GU54" s="572"/>
      <c r="GV54" s="572"/>
      <c r="GW54" s="572"/>
      <c r="GX54" s="572"/>
      <c r="GY54" s="572"/>
      <c r="GZ54" s="572"/>
      <c r="HA54" s="572"/>
      <c r="HB54" s="572"/>
      <c r="HC54" s="572"/>
      <c r="HD54" s="572"/>
      <c r="HE54" s="572"/>
      <c r="HF54" s="572"/>
      <c r="HG54" s="572"/>
      <c r="HH54" s="572"/>
      <c r="HI54" s="572"/>
      <c r="HJ54" s="572"/>
      <c r="HK54" s="572"/>
      <c r="HL54" s="572"/>
      <c r="HM54" s="572"/>
      <c r="HN54" s="572"/>
      <c r="HO54" s="572"/>
      <c r="HP54" s="572"/>
      <c r="HQ54" s="572"/>
      <c r="HR54" s="572"/>
      <c r="HS54" s="572"/>
      <c r="HT54" s="572"/>
      <c r="HU54" s="572"/>
      <c r="HV54" s="572"/>
      <c r="HW54" s="572"/>
      <c r="HX54" s="572"/>
      <c r="HY54" s="572"/>
      <c r="HZ54" s="572"/>
      <c r="IA54" s="572"/>
      <c r="IB54" s="572"/>
      <c r="IC54" s="572"/>
      <c r="ID54" s="572"/>
      <c r="IE54" s="572"/>
      <c r="IF54" s="572"/>
      <c r="IG54" s="572"/>
      <c r="IH54" s="572"/>
      <c r="II54" s="572"/>
      <c r="IJ54" s="572"/>
      <c r="IK54" s="572"/>
      <c r="IL54" s="572"/>
      <c r="IM54" s="572"/>
      <c r="IN54" s="572"/>
      <c r="IO54" s="572"/>
      <c r="IP54" s="572"/>
      <c r="IQ54" s="572"/>
      <c r="IR54" s="572"/>
      <c r="IS54" s="572"/>
      <c r="IT54" s="572"/>
      <c r="IU54" s="572"/>
      <c r="IV54" s="572"/>
    </row>
    <row r="55" spans="1:8" ht="11.25" customHeight="1">
      <c r="A55" s="572"/>
      <c r="B55" s="572"/>
      <c r="C55" s="572"/>
      <c r="D55" s="572"/>
      <c r="E55" s="572"/>
      <c r="F55" s="572"/>
      <c r="G55" s="572"/>
      <c r="H55" s="572"/>
    </row>
    <row r="56" spans="1:8" ht="11.25" customHeight="1">
      <c r="A56" s="572"/>
      <c r="B56" s="572"/>
      <c r="C56" s="572"/>
      <c r="D56" s="572"/>
      <c r="E56" s="572"/>
      <c r="F56" s="572"/>
      <c r="G56" s="572"/>
      <c r="H56" s="572"/>
    </row>
    <row r="57" spans="1:8" ht="11.25" customHeight="1">
      <c r="A57" s="572"/>
      <c r="B57" s="572"/>
      <c r="C57" s="572"/>
      <c r="D57" s="572"/>
      <c r="E57" s="572"/>
      <c r="F57" s="572"/>
      <c r="G57" s="572"/>
      <c r="H57" s="572"/>
    </row>
    <row r="58" spans="1:8" ht="11.25" customHeight="1">
      <c r="A58" s="571"/>
      <c r="B58" s="571"/>
      <c r="C58" s="571"/>
      <c r="D58" s="571"/>
      <c r="E58" s="571"/>
      <c r="F58" s="571"/>
      <c r="G58" s="571"/>
      <c r="H58" s="571"/>
    </row>
  </sheetData>
  <sheetProtection/>
  <mergeCells count="139">
    <mergeCell ref="IG54:IN54"/>
    <mergeCell ref="HI54:HP54"/>
    <mergeCell ref="HQ54:HX54"/>
    <mergeCell ref="FM54:FT54"/>
    <mergeCell ref="FU54:GB54"/>
    <mergeCell ref="A48:H48"/>
    <mergeCell ref="DI54:DP54"/>
    <mergeCell ref="DQ54:DX54"/>
    <mergeCell ref="DY54:EF54"/>
    <mergeCell ref="BU54:CB54"/>
    <mergeCell ref="IO54:IV54"/>
    <mergeCell ref="GS54:GZ54"/>
    <mergeCell ref="HA54:HH54"/>
    <mergeCell ref="GC54:GJ54"/>
    <mergeCell ref="GK54:GR54"/>
    <mergeCell ref="EG54:EN54"/>
    <mergeCell ref="EO54:EV54"/>
    <mergeCell ref="EW54:FD54"/>
    <mergeCell ref="FE54:FL54"/>
    <mergeCell ref="HY54:IF54"/>
    <mergeCell ref="CC54:CJ54"/>
    <mergeCell ref="CK54:CR54"/>
    <mergeCell ref="CS54:CZ54"/>
    <mergeCell ref="I54:P54"/>
    <mergeCell ref="Q54:X54"/>
    <mergeCell ref="Y54:AF54"/>
    <mergeCell ref="AG54:AN54"/>
    <mergeCell ref="AO54:AV54"/>
    <mergeCell ref="DA54:DH54"/>
    <mergeCell ref="AW54:BD54"/>
    <mergeCell ref="BE54:BL54"/>
    <mergeCell ref="BM54:BT54"/>
    <mergeCell ref="HY53:IF53"/>
    <mergeCell ref="IG53:IN53"/>
    <mergeCell ref="DY53:EF53"/>
    <mergeCell ref="EG53:EN53"/>
    <mergeCell ref="EO53:EV53"/>
    <mergeCell ref="EW53:FD53"/>
    <mergeCell ref="FE53:FL53"/>
    <mergeCell ref="IO53:IV53"/>
    <mergeCell ref="GK53:GR53"/>
    <mergeCell ref="GS53:GZ53"/>
    <mergeCell ref="HA53:HH53"/>
    <mergeCell ref="HI53:HP53"/>
    <mergeCell ref="FM53:FT53"/>
    <mergeCell ref="FU53:GB53"/>
    <mergeCell ref="GC53:GJ53"/>
    <mergeCell ref="HQ53:HX53"/>
    <mergeCell ref="I53:P53"/>
    <mergeCell ref="DA53:DH53"/>
    <mergeCell ref="DI53:DP53"/>
    <mergeCell ref="BE53:BL53"/>
    <mergeCell ref="DQ53:DX53"/>
    <mergeCell ref="BM53:BT53"/>
    <mergeCell ref="BU53:CB53"/>
    <mergeCell ref="CC53:CJ53"/>
    <mergeCell ref="CK53:CR53"/>
    <mergeCell ref="AG53:AN53"/>
    <mergeCell ref="AO53:AV53"/>
    <mergeCell ref="AW53:BD53"/>
    <mergeCell ref="CS53:CZ53"/>
    <mergeCell ref="Q53:X53"/>
    <mergeCell ref="Y53:AF53"/>
    <mergeCell ref="A16:H16"/>
    <mergeCell ref="E20:F20"/>
    <mergeCell ref="E18:F18"/>
    <mergeCell ref="G20:H20"/>
    <mergeCell ref="A27:H27"/>
    <mergeCell ref="I9:I10"/>
    <mergeCell ref="I13:I16"/>
    <mergeCell ref="G21:H21"/>
    <mergeCell ref="G22:H22"/>
    <mergeCell ref="E19:F19"/>
    <mergeCell ref="E11:F11"/>
    <mergeCell ref="E17:F17"/>
    <mergeCell ref="G17:H17"/>
    <mergeCell ref="G19:H19"/>
    <mergeCell ref="G18:H18"/>
    <mergeCell ref="A15:H15"/>
    <mergeCell ref="E23:F23"/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A38:D38"/>
    <mergeCell ref="E9:H9"/>
    <mergeCell ref="A24:F24"/>
    <mergeCell ref="G24:H24"/>
    <mergeCell ref="E12:H12"/>
    <mergeCell ref="G11:H11"/>
    <mergeCell ref="A31:F31"/>
    <mergeCell ref="A13:H13"/>
    <mergeCell ref="A14:H14"/>
    <mergeCell ref="G23:H23"/>
    <mergeCell ref="G29:H29"/>
    <mergeCell ref="B26:D26"/>
    <mergeCell ref="E29:F29"/>
    <mergeCell ref="A37:H37"/>
    <mergeCell ref="A33:C33"/>
    <mergeCell ref="A30:F30"/>
    <mergeCell ref="A29:B29"/>
    <mergeCell ref="A36:D36"/>
    <mergeCell ref="A28:H28"/>
    <mergeCell ref="A35:H35"/>
    <mergeCell ref="D33:G33"/>
    <mergeCell ref="A58:H58"/>
    <mergeCell ref="A55:H55"/>
    <mergeCell ref="A56:H56"/>
    <mergeCell ref="A57:H57"/>
    <mergeCell ref="A53:H53"/>
    <mergeCell ref="A54:H54"/>
    <mergeCell ref="A39:D39"/>
    <mergeCell ref="E39:G39"/>
    <mergeCell ref="A40:D40"/>
    <mergeCell ref="E40:G40"/>
    <mergeCell ref="A41:D41"/>
    <mergeCell ref="E41:G41"/>
    <mergeCell ref="A42:D42"/>
    <mergeCell ref="E42:G42"/>
    <mergeCell ref="A43:D43"/>
    <mergeCell ref="E43:G43"/>
    <mergeCell ref="A44:D44"/>
    <mergeCell ref="E44:G44"/>
    <mergeCell ref="A49:G49"/>
    <mergeCell ref="A50:G50"/>
    <mergeCell ref="A51:G51"/>
    <mergeCell ref="A52:G52"/>
    <mergeCell ref="A45:D45"/>
    <mergeCell ref="E45:G45"/>
    <mergeCell ref="A46:D46"/>
    <mergeCell ref="E46:G46"/>
    <mergeCell ref="A47:D47"/>
    <mergeCell ref="E47:G47"/>
  </mergeCells>
  <printOptions/>
  <pageMargins left="0.5118110236220472" right="0.31496062992125984" top="0.25" bottom="0.25" header="0.25" footer="0.26"/>
  <pageSetup horizontalDpi="180" verticalDpi="180" orientation="landscape" paperSize="9" scale="91" r:id="rId1"/>
  <rowBreaks count="1" manualBreakCount="1">
    <brk id="33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F369"/>
  <sheetViews>
    <sheetView view="pageBreakPreview" zoomScale="60" zoomScalePageLayoutView="0" workbookViewId="0" topLeftCell="A334">
      <selection activeCell="F380" sqref="F380"/>
    </sheetView>
  </sheetViews>
  <sheetFormatPr defaultColWidth="9.140625" defaultRowHeight="15"/>
  <cols>
    <col min="1" max="1" width="9.140625" style="186" customWidth="1"/>
    <col min="2" max="2" width="18.00390625" style="187" customWidth="1"/>
    <col min="3" max="3" width="20.57421875" style="186" customWidth="1"/>
    <col min="4" max="4" width="21.28125" style="186" customWidth="1"/>
    <col min="5" max="5" width="17.28125" style="186" customWidth="1"/>
    <col min="6" max="6" width="20.8515625" style="186" customWidth="1"/>
    <col min="7" max="7" width="16.8515625" style="186" customWidth="1"/>
    <col min="8" max="8" width="16.28125" style="186" customWidth="1"/>
    <col min="9" max="9" width="19.57421875" style="186" customWidth="1"/>
    <col min="10" max="10" width="23.00390625" style="186" customWidth="1"/>
    <col min="11" max="11" width="24.421875" style="186" customWidth="1"/>
    <col min="12" max="12" width="18.00390625" style="186" bestFit="1" customWidth="1"/>
    <col min="13" max="13" width="15.421875" style="186" customWidth="1"/>
    <col min="14" max="16384" width="9.140625" style="186" customWidth="1"/>
  </cols>
  <sheetData>
    <row r="1" spans="5:6" ht="15.75" customHeight="1">
      <c r="E1" s="747"/>
      <c r="F1" s="747"/>
    </row>
    <row r="2" spans="1:26" s="190" customFormat="1" ht="40.5" customHeight="1">
      <c r="A2" s="748" t="s">
        <v>539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2:26" s="190" customFormat="1" ht="15.75" customHeight="1">
      <c r="B3" s="749" t="s">
        <v>852</v>
      </c>
      <c r="C3" s="749"/>
      <c r="D3" s="749"/>
      <c r="E3" s="749"/>
      <c r="F3" s="749"/>
      <c r="G3" s="749"/>
      <c r="H3" s="749"/>
      <c r="I3" s="74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162" ht="20.25" customHeight="1">
      <c r="A4" s="750" t="s">
        <v>540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</row>
    <row r="5" spans="2:31" ht="15.75" customHeight="1">
      <c r="B5" s="186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5.75" customHeight="1">
      <c r="B6" s="193" t="s">
        <v>541</v>
      </c>
      <c r="C6" s="193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2:31" ht="15.75" customHeight="1">
      <c r="B7" s="186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2:31" ht="15.75" customHeight="1">
      <c r="B8" s="193" t="s">
        <v>542</v>
      </c>
      <c r="C8" s="193"/>
      <c r="D8" s="193" t="s">
        <v>702</v>
      </c>
      <c r="E8" s="193"/>
      <c r="F8" s="192"/>
      <c r="G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2:31" ht="15.75" customHeight="1">
      <c r="B9" s="18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2:31" ht="15.75" customHeight="1">
      <c r="B10" s="194" t="s">
        <v>544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2:31" ht="15.75" customHeight="1">
      <c r="B11" s="186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83" ht="48" customHeight="1">
      <c r="A12" s="740" t="s">
        <v>545</v>
      </c>
      <c r="B12" s="741" t="s">
        <v>546</v>
      </c>
      <c r="C12" s="741" t="s">
        <v>547</v>
      </c>
      <c r="D12" s="744" t="s">
        <v>548</v>
      </c>
      <c r="E12" s="745"/>
      <c r="F12" s="745"/>
      <c r="G12" s="746"/>
      <c r="H12" s="731" t="s">
        <v>549</v>
      </c>
      <c r="I12" s="731" t="s">
        <v>550</v>
      </c>
      <c r="J12" s="731" t="s">
        <v>551</v>
      </c>
      <c r="K12" s="734" t="s">
        <v>552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2"/>
      <c r="BY12" s="192"/>
      <c r="BZ12" s="192"/>
      <c r="CA12" s="192"/>
      <c r="CB12" s="192"/>
      <c r="CC12" s="192"/>
      <c r="CD12" s="192"/>
      <c r="CE12" s="192"/>
    </row>
    <row r="13" spans="1:73" ht="15.75" customHeight="1">
      <c r="A13" s="740"/>
      <c r="B13" s="742"/>
      <c r="C13" s="742"/>
      <c r="D13" s="196" t="s">
        <v>36</v>
      </c>
      <c r="E13" s="735" t="s">
        <v>4</v>
      </c>
      <c r="F13" s="736"/>
      <c r="G13" s="736"/>
      <c r="H13" s="732"/>
      <c r="I13" s="732"/>
      <c r="J13" s="732"/>
      <c r="K13" s="73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</row>
    <row r="14" spans="1:31" ht="46.5" customHeight="1">
      <c r="A14" s="740"/>
      <c r="B14" s="743"/>
      <c r="C14" s="743"/>
      <c r="D14" s="198"/>
      <c r="E14" s="199" t="s">
        <v>553</v>
      </c>
      <c r="F14" s="199" t="s">
        <v>554</v>
      </c>
      <c r="G14" s="197" t="s">
        <v>555</v>
      </c>
      <c r="H14" s="733"/>
      <c r="I14" s="733"/>
      <c r="J14" s="733"/>
      <c r="K14" s="734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2"/>
      <c r="AB14" s="192"/>
      <c r="AC14" s="192"/>
      <c r="AD14" s="192"/>
      <c r="AE14" s="192"/>
    </row>
    <row r="15" spans="1:31" ht="15.75" customHeight="1">
      <c r="A15" s="200">
        <v>1</v>
      </c>
      <c r="B15" s="201">
        <v>2</v>
      </c>
      <c r="C15" s="201">
        <v>3</v>
      </c>
      <c r="D15" s="202">
        <v>4</v>
      </c>
      <c r="E15" s="203">
        <v>5</v>
      </c>
      <c r="F15" s="204">
        <v>6</v>
      </c>
      <c r="G15" s="201">
        <v>7</v>
      </c>
      <c r="H15" s="201">
        <v>8</v>
      </c>
      <c r="I15" s="201">
        <v>9</v>
      </c>
      <c r="J15" s="204">
        <v>10</v>
      </c>
      <c r="K15" s="204">
        <v>11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2"/>
      <c r="AB15" s="192"/>
      <c r="AC15" s="192"/>
      <c r="AD15" s="192"/>
      <c r="AE15" s="192"/>
    </row>
    <row r="16" spans="1:31" ht="15.75" customHeight="1">
      <c r="A16" s="206"/>
      <c r="B16" s="207" t="s">
        <v>556</v>
      </c>
      <c r="C16" s="330">
        <v>2</v>
      </c>
      <c r="D16" s="330">
        <f>SUM(E16:G16)</f>
        <v>3120</v>
      </c>
      <c r="E16" s="239">
        <v>0</v>
      </c>
      <c r="F16" s="239">
        <v>0</v>
      </c>
      <c r="G16" s="330">
        <v>3120</v>
      </c>
      <c r="H16" s="330">
        <v>0</v>
      </c>
      <c r="I16" s="330">
        <v>1.15</v>
      </c>
      <c r="J16" s="331">
        <f>(C16*D16*(1+H16/100)*I16*12)</f>
        <v>86111.99999999999</v>
      </c>
      <c r="K16" s="211" t="s">
        <v>557</v>
      </c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192"/>
      <c r="AB16" s="192"/>
      <c r="AC16" s="192"/>
      <c r="AD16" s="192"/>
      <c r="AE16" s="192"/>
    </row>
    <row r="17" spans="1:31" ht="15.75" customHeight="1">
      <c r="A17" s="206"/>
      <c r="B17" s="207" t="s">
        <v>558</v>
      </c>
      <c r="C17" s="330">
        <v>3</v>
      </c>
      <c r="D17" s="330">
        <f>SUM(E17:G17)</f>
        <v>2500</v>
      </c>
      <c r="E17" s="239">
        <v>0</v>
      </c>
      <c r="F17" s="239">
        <v>0</v>
      </c>
      <c r="G17" s="330">
        <f>2500</f>
        <v>2500</v>
      </c>
      <c r="H17" s="330">
        <v>0</v>
      </c>
      <c r="I17" s="330">
        <v>1.15</v>
      </c>
      <c r="J17" s="331">
        <f>(C17*D17*(1+H17/100)*I17*12)</f>
        <v>103500</v>
      </c>
      <c r="K17" s="211" t="s">
        <v>557</v>
      </c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192"/>
      <c r="AB17" s="192"/>
      <c r="AC17" s="192"/>
      <c r="AD17" s="192"/>
      <c r="AE17" s="192"/>
    </row>
    <row r="18" spans="1:31" ht="15.75" customHeight="1">
      <c r="A18" s="206"/>
      <c r="B18" s="207" t="s">
        <v>559</v>
      </c>
      <c r="C18" s="330">
        <v>44</v>
      </c>
      <c r="D18" s="330">
        <f>SUM(E18:G18)</f>
        <v>4285.22</v>
      </c>
      <c r="E18" s="239">
        <v>0</v>
      </c>
      <c r="F18" s="239">
        <v>0</v>
      </c>
      <c r="G18" s="330">
        <f>3689.69-18.69+614.22</f>
        <v>4285.22</v>
      </c>
      <c r="H18" s="330">
        <v>0</v>
      </c>
      <c r="I18" s="330">
        <v>1.15</v>
      </c>
      <c r="J18" s="331">
        <f>(C18*D18*(1+H18/100)*I18*12)</f>
        <v>2601985.5840000003</v>
      </c>
      <c r="K18" s="211" t="s">
        <v>557</v>
      </c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192"/>
      <c r="AB18" s="192"/>
      <c r="AC18" s="192"/>
      <c r="AD18" s="192"/>
      <c r="AE18" s="192"/>
    </row>
    <row r="19" spans="1:31" s="194" customFormat="1" ht="15.75" customHeight="1">
      <c r="A19" s="219"/>
      <c r="B19" s="388"/>
      <c r="C19" s="349">
        <f>SUM(C16:C18)</f>
        <v>49</v>
      </c>
      <c r="D19" s="349"/>
      <c r="E19" s="350"/>
      <c r="F19" s="350"/>
      <c r="G19" s="349"/>
      <c r="H19" s="349"/>
      <c r="I19" s="349"/>
      <c r="J19" s="290">
        <f>SUM(J16:J18)</f>
        <v>2791597.5840000003</v>
      </c>
      <c r="K19" s="389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223"/>
      <c r="AB19" s="223"/>
      <c r="AC19" s="223"/>
      <c r="AD19" s="223"/>
      <c r="AE19" s="223"/>
    </row>
    <row r="20" spans="1:31" s="194" customFormat="1" ht="15.75" customHeight="1">
      <c r="A20" s="219"/>
      <c r="B20" s="207" t="s">
        <v>556</v>
      </c>
      <c r="C20" s="330">
        <v>2</v>
      </c>
      <c r="D20" s="330">
        <f>SUM(E20:H20)</f>
        <v>1560</v>
      </c>
      <c r="E20" s="330">
        <v>1560</v>
      </c>
      <c r="F20" s="203">
        <v>0</v>
      </c>
      <c r="G20" s="215">
        <v>0</v>
      </c>
      <c r="H20" s="215">
        <v>0</v>
      </c>
      <c r="I20" s="215">
        <v>1.15</v>
      </c>
      <c r="J20" s="331">
        <f>(C20*D20*(1+H20/100)*I20*12)</f>
        <v>43055.99999999999</v>
      </c>
      <c r="K20" s="389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223"/>
      <c r="AB20" s="223"/>
      <c r="AC20" s="223"/>
      <c r="AD20" s="223"/>
      <c r="AE20" s="223"/>
    </row>
    <row r="21" spans="1:31" s="194" customFormat="1" ht="15.75" customHeight="1">
      <c r="A21" s="219"/>
      <c r="B21" s="207" t="s">
        <v>558</v>
      </c>
      <c r="C21" s="330">
        <v>4</v>
      </c>
      <c r="D21" s="330">
        <f>SUM(E21:H21)</f>
        <v>2600</v>
      </c>
      <c r="E21" s="330">
        <v>2600</v>
      </c>
      <c r="F21" s="203">
        <v>0</v>
      </c>
      <c r="G21" s="215">
        <v>0</v>
      </c>
      <c r="H21" s="215">
        <v>0</v>
      </c>
      <c r="I21" s="215">
        <v>1.15</v>
      </c>
      <c r="J21" s="331">
        <f>(C21*D21*(1+H21/100)*I21*12)</f>
        <v>143519.99999999997</v>
      </c>
      <c r="K21" s="389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223"/>
      <c r="AB21" s="223"/>
      <c r="AC21" s="223"/>
      <c r="AD21" s="223"/>
      <c r="AE21" s="223"/>
    </row>
    <row r="22" spans="1:31" s="194" customFormat="1" ht="15.75" customHeight="1">
      <c r="A22" s="219"/>
      <c r="B22" s="207" t="s">
        <v>559</v>
      </c>
      <c r="C22" s="330">
        <v>5</v>
      </c>
      <c r="D22" s="330">
        <f>SUM(E22:H22)</f>
        <v>5074.76</v>
      </c>
      <c r="E22" s="330">
        <v>5074.76</v>
      </c>
      <c r="F22" s="203">
        <v>0</v>
      </c>
      <c r="G22" s="215">
        <v>0</v>
      </c>
      <c r="H22" s="215">
        <v>0</v>
      </c>
      <c r="I22" s="215">
        <v>1.15</v>
      </c>
      <c r="J22" s="331">
        <f>(C22*D22*(1+H22/100)*I22*12)</f>
        <v>350158.44000000006</v>
      </c>
      <c r="K22" s="389"/>
      <c r="L22" s="390"/>
      <c r="M22" s="390"/>
      <c r="N22" s="390"/>
      <c r="O22" s="390"/>
      <c r="P22" s="390"/>
      <c r="Q22" s="390"/>
      <c r="R22" s="390"/>
      <c r="S22" s="390"/>
      <c r="T22" s="390"/>
      <c r="U22" s="390"/>
      <c r="V22" s="390"/>
      <c r="W22" s="390"/>
      <c r="X22" s="390"/>
      <c r="Y22" s="390"/>
      <c r="Z22" s="390"/>
      <c r="AA22" s="223"/>
      <c r="AB22" s="223"/>
      <c r="AC22" s="223"/>
      <c r="AD22" s="223"/>
      <c r="AE22" s="223"/>
    </row>
    <row r="23" spans="1:31" s="194" customFormat="1" ht="15.75" customHeight="1">
      <c r="A23" s="219"/>
      <c r="B23" s="207" t="s">
        <v>560</v>
      </c>
      <c r="C23" s="536"/>
      <c r="D23" s="202"/>
      <c r="E23" s="203"/>
      <c r="F23" s="203"/>
      <c r="G23" s="215"/>
      <c r="H23" s="215"/>
      <c r="I23" s="215"/>
      <c r="J23" s="331">
        <f>(C23*D23*(1+H23/100)*I23*12)</f>
        <v>0</v>
      </c>
      <c r="K23" s="389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223"/>
      <c r="AB23" s="223"/>
      <c r="AC23" s="223"/>
      <c r="AD23" s="223"/>
      <c r="AE23" s="223"/>
    </row>
    <row r="24" spans="1:31" s="194" customFormat="1" ht="15.75" customHeight="1">
      <c r="A24" s="219"/>
      <c r="B24" s="207" t="s">
        <v>561</v>
      </c>
      <c r="C24" s="202" t="s">
        <v>562</v>
      </c>
      <c r="D24" s="202"/>
      <c r="E24" s="203" t="s">
        <v>562</v>
      </c>
      <c r="F24" s="203" t="s">
        <v>562</v>
      </c>
      <c r="G24" s="215" t="s">
        <v>562</v>
      </c>
      <c r="H24" s="215" t="s">
        <v>562</v>
      </c>
      <c r="I24" s="215" t="s">
        <v>562</v>
      </c>
      <c r="J24" s="290">
        <f>SUM(J20:J23)</f>
        <v>536734.4400000001</v>
      </c>
      <c r="K24" s="389"/>
      <c r="L24" s="390"/>
      <c r="M24" s="390"/>
      <c r="N24" s="390"/>
      <c r="O24" s="390"/>
      <c r="P24" s="390"/>
      <c r="Q24" s="390"/>
      <c r="R24" s="390"/>
      <c r="S24" s="390"/>
      <c r="T24" s="390"/>
      <c r="U24" s="390"/>
      <c r="V24" s="390"/>
      <c r="W24" s="390"/>
      <c r="X24" s="390"/>
      <c r="Y24" s="390"/>
      <c r="Z24" s="390"/>
      <c r="AA24" s="223"/>
      <c r="AB24" s="223"/>
      <c r="AC24" s="223"/>
      <c r="AD24" s="223"/>
      <c r="AE24" s="223"/>
    </row>
    <row r="25" spans="1:31" ht="15.75" customHeight="1">
      <c r="A25" s="206"/>
      <c r="B25" s="207" t="s">
        <v>559</v>
      </c>
      <c r="C25" s="330">
        <v>2</v>
      </c>
      <c r="D25" s="330">
        <f>SUM(E25:G25)</f>
        <v>100000</v>
      </c>
      <c r="E25" s="239">
        <v>0</v>
      </c>
      <c r="F25" s="239">
        <v>100000</v>
      </c>
      <c r="G25" s="330">
        <v>0</v>
      </c>
      <c r="H25" s="330">
        <v>0</v>
      </c>
      <c r="I25" s="330">
        <v>1.15</v>
      </c>
      <c r="J25" s="331">
        <f>D25</f>
        <v>100000</v>
      </c>
      <c r="K25" s="211" t="s">
        <v>557</v>
      </c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192"/>
      <c r="AB25" s="192"/>
      <c r="AC25" s="192"/>
      <c r="AD25" s="192"/>
      <c r="AE25" s="192"/>
    </row>
    <row r="26" spans="1:31" ht="15.75" customHeight="1">
      <c r="A26" s="206"/>
      <c r="B26" s="207" t="s">
        <v>559</v>
      </c>
      <c r="C26" s="330">
        <v>1</v>
      </c>
      <c r="D26" s="330">
        <f>SUM(E26:G26)</f>
        <v>90000</v>
      </c>
      <c r="E26" s="239">
        <v>0</v>
      </c>
      <c r="F26" s="239">
        <v>90000</v>
      </c>
      <c r="G26" s="330">
        <v>0</v>
      </c>
      <c r="H26" s="330">
        <v>0</v>
      </c>
      <c r="I26" s="330" t="s">
        <v>562</v>
      </c>
      <c r="J26" s="331">
        <f>D26</f>
        <v>90000</v>
      </c>
      <c r="K26" s="211" t="s">
        <v>557</v>
      </c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192"/>
      <c r="AB26" s="192"/>
      <c r="AC26" s="192"/>
      <c r="AD26" s="192"/>
      <c r="AE26" s="192"/>
    </row>
    <row r="27" spans="1:31" ht="15.75" customHeight="1">
      <c r="A27" s="206"/>
      <c r="B27" s="207" t="s">
        <v>748</v>
      </c>
      <c r="C27" s="330"/>
      <c r="D27" s="330"/>
      <c r="E27" s="239"/>
      <c r="F27" s="239"/>
      <c r="G27" s="330"/>
      <c r="H27" s="330"/>
      <c r="I27" s="330"/>
      <c r="J27" s="331">
        <v>14775.84</v>
      </c>
      <c r="K27" s="211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192"/>
      <c r="AB27" s="192"/>
      <c r="AC27" s="192"/>
      <c r="AD27" s="192"/>
      <c r="AE27" s="192"/>
    </row>
    <row r="28" spans="1:31" ht="15.75" customHeight="1">
      <c r="A28" s="206"/>
      <c r="B28" s="213" t="s">
        <v>561</v>
      </c>
      <c r="C28" s="332" t="s">
        <v>562</v>
      </c>
      <c r="D28" s="332"/>
      <c r="E28" s="304" t="s">
        <v>562</v>
      </c>
      <c r="F28" s="304" t="s">
        <v>562</v>
      </c>
      <c r="G28" s="332" t="s">
        <v>562</v>
      </c>
      <c r="H28" s="332" t="s">
        <v>562</v>
      </c>
      <c r="I28" s="332" t="s">
        <v>562</v>
      </c>
      <c r="J28" s="333">
        <f>SUM(J24:J27)+J19</f>
        <v>3533107.864</v>
      </c>
      <c r="K28" s="203" t="s">
        <v>562</v>
      </c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192"/>
      <c r="AB28" s="192"/>
      <c r="AC28" s="192"/>
      <c r="AD28" s="192"/>
      <c r="AE28" s="192"/>
    </row>
    <row r="29" spans="1:31" ht="15.75" customHeight="1">
      <c r="A29" s="206"/>
      <c r="B29" s="207" t="s">
        <v>556</v>
      </c>
      <c r="C29" s="334"/>
      <c r="D29" s="334"/>
      <c r="E29" s="331"/>
      <c r="F29" s="331"/>
      <c r="G29" s="335"/>
      <c r="H29" s="335"/>
      <c r="I29" s="335"/>
      <c r="J29" s="331">
        <f>(C29*D29*(1+H29/100)*I29*12)</f>
        <v>0</v>
      </c>
      <c r="K29" s="211" t="s">
        <v>563</v>
      </c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192"/>
      <c r="AB29" s="192"/>
      <c r="AC29" s="192"/>
      <c r="AD29" s="192"/>
      <c r="AE29" s="192"/>
    </row>
    <row r="30" spans="1:31" ht="15.75" customHeight="1">
      <c r="A30" s="206"/>
      <c r="B30" s="207" t="s">
        <v>558</v>
      </c>
      <c r="C30" s="334"/>
      <c r="D30" s="334"/>
      <c r="E30" s="331"/>
      <c r="F30" s="331"/>
      <c r="G30" s="335"/>
      <c r="H30" s="335"/>
      <c r="I30" s="335"/>
      <c r="J30" s="331">
        <f>(C30*D30*(1+H30/100)*I30*12)</f>
        <v>0</v>
      </c>
      <c r="K30" s="211" t="s">
        <v>563</v>
      </c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192"/>
      <c r="AB30" s="192"/>
      <c r="AC30" s="192"/>
      <c r="AD30" s="192"/>
      <c r="AE30" s="192"/>
    </row>
    <row r="31" spans="1:31" ht="15.75" customHeight="1">
      <c r="A31" s="206"/>
      <c r="B31" s="207" t="s">
        <v>559</v>
      </c>
      <c r="C31" s="334">
        <v>0</v>
      </c>
      <c r="D31" s="334">
        <v>0</v>
      </c>
      <c r="E31" s="331"/>
      <c r="F31" s="331"/>
      <c r="G31" s="335"/>
      <c r="H31" s="335"/>
      <c r="I31" s="335"/>
      <c r="J31" s="331">
        <f>D31</f>
        <v>0</v>
      </c>
      <c r="K31" s="211" t="s">
        <v>563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192"/>
      <c r="AB31" s="192"/>
      <c r="AC31" s="192"/>
      <c r="AD31" s="192"/>
      <c r="AE31" s="192"/>
    </row>
    <row r="32" spans="1:31" ht="15.75" customHeight="1">
      <c r="A32" s="206"/>
      <c r="B32" s="207" t="s">
        <v>560</v>
      </c>
      <c r="C32" s="334"/>
      <c r="D32" s="334"/>
      <c r="E32" s="331"/>
      <c r="F32" s="331"/>
      <c r="G32" s="335"/>
      <c r="H32" s="335"/>
      <c r="I32" s="335"/>
      <c r="J32" s="331">
        <f>(C32*D32*(1+H32/100)*I32*12)</f>
        <v>0</v>
      </c>
      <c r="K32" s="211" t="s">
        <v>563</v>
      </c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192"/>
      <c r="AB32" s="192"/>
      <c r="AC32" s="192"/>
      <c r="AD32" s="192"/>
      <c r="AE32" s="192"/>
    </row>
    <row r="33" spans="1:31" ht="15.75" customHeight="1">
      <c r="A33" s="206"/>
      <c r="B33" s="213" t="s">
        <v>561</v>
      </c>
      <c r="C33" s="334" t="s">
        <v>562</v>
      </c>
      <c r="D33" s="334"/>
      <c r="E33" s="331" t="s">
        <v>562</v>
      </c>
      <c r="F33" s="331" t="s">
        <v>562</v>
      </c>
      <c r="G33" s="335" t="s">
        <v>562</v>
      </c>
      <c r="H33" s="335" t="s">
        <v>562</v>
      </c>
      <c r="I33" s="335" t="s">
        <v>562</v>
      </c>
      <c r="J33" s="331">
        <f>SUM(J29:J32)</f>
        <v>0</v>
      </c>
      <c r="K33" s="203" t="s">
        <v>562</v>
      </c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</row>
    <row r="34" spans="1:12" ht="15.75" customHeight="1">
      <c r="A34" s="737" t="s">
        <v>561</v>
      </c>
      <c r="B34" s="738"/>
      <c r="C34" s="336" t="s">
        <v>562</v>
      </c>
      <c r="D34" s="337"/>
      <c r="E34" s="337"/>
      <c r="F34" s="337"/>
      <c r="G34" s="337"/>
      <c r="H34" s="337"/>
      <c r="I34" s="337"/>
      <c r="J34" s="290" t="s">
        <v>562</v>
      </c>
      <c r="K34" s="219"/>
      <c r="L34" s="391">
        <f>J19+G123+J27</f>
        <v>3811524.954</v>
      </c>
    </row>
    <row r="35" spans="1:12" ht="15.75" customHeight="1">
      <c r="A35" s="192"/>
      <c r="B35" s="220"/>
      <c r="C35" s="221"/>
      <c r="D35" s="220"/>
      <c r="E35" s="220"/>
      <c r="F35" s="220"/>
      <c r="G35" s="220"/>
      <c r="H35" s="220"/>
      <c r="I35" s="220"/>
      <c r="J35" s="222"/>
      <c r="K35" s="223"/>
      <c r="L35" s="391">
        <f>J28+G123</f>
        <v>4538259.393999999</v>
      </c>
    </row>
    <row r="36" spans="2:31" ht="15.75" customHeight="1" hidden="1">
      <c r="B36" s="194" t="s">
        <v>853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</row>
    <row r="37" spans="2:31" ht="15.75" customHeight="1" hidden="1">
      <c r="B37" s="186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</row>
    <row r="38" spans="1:83" ht="15.75" customHeight="1" hidden="1">
      <c r="A38" s="740" t="s">
        <v>545</v>
      </c>
      <c r="B38" s="741" t="s">
        <v>546</v>
      </c>
      <c r="C38" s="741" t="s">
        <v>547</v>
      </c>
      <c r="D38" s="744" t="s">
        <v>548</v>
      </c>
      <c r="E38" s="745"/>
      <c r="F38" s="745"/>
      <c r="G38" s="746"/>
      <c r="H38" s="731" t="s">
        <v>549</v>
      </c>
      <c r="I38" s="731" t="s">
        <v>550</v>
      </c>
      <c r="J38" s="731" t="s">
        <v>551</v>
      </c>
      <c r="K38" s="734" t="s">
        <v>552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2"/>
      <c r="BY38" s="192"/>
      <c r="BZ38" s="192"/>
      <c r="CA38" s="192"/>
      <c r="CB38" s="192"/>
      <c r="CC38" s="192"/>
      <c r="CD38" s="192"/>
      <c r="CE38" s="192"/>
    </row>
    <row r="39" spans="1:73" ht="15.75" customHeight="1" hidden="1">
      <c r="A39" s="740"/>
      <c r="B39" s="742"/>
      <c r="C39" s="742"/>
      <c r="D39" s="196" t="s">
        <v>36</v>
      </c>
      <c r="E39" s="735" t="s">
        <v>4</v>
      </c>
      <c r="F39" s="736"/>
      <c r="G39" s="736"/>
      <c r="H39" s="732"/>
      <c r="I39" s="732"/>
      <c r="J39" s="732"/>
      <c r="K39" s="734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</row>
    <row r="40" spans="1:31" ht="15.75" customHeight="1" hidden="1">
      <c r="A40" s="740"/>
      <c r="B40" s="743"/>
      <c r="C40" s="743"/>
      <c r="D40" s="198"/>
      <c r="E40" s="199" t="s">
        <v>553</v>
      </c>
      <c r="F40" s="199" t="s">
        <v>554</v>
      </c>
      <c r="G40" s="197" t="s">
        <v>555</v>
      </c>
      <c r="H40" s="733"/>
      <c r="I40" s="733"/>
      <c r="J40" s="733"/>
      <c r="K40" s="734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2"/>
      <c r="AB40" s="192"/>
      <c r="AC40" s="192"/>
      <c r="AD40" s="192"/>
      <c r="AE40" s="192"/>
    </row>
    <row r="41" spans="1:31" ht="15.75" customHeight="1" hidden="1">
      <c r="A41" s="200">
        <v>1</v>
      </c>
      <c r="B41" s="201">
        <v>2</v>
      </c>
      <c r="C41" s="201">
        <v>3</v>
      </c>
      <c r="D41" s="202">
        <v>4</v>
      </c>
      <c r="E41" s="203">
        <v>5</v>
      </c>
      <c r="F41" s="204">
        <v>6</v>
      </c>
      <c r="G41" s="201">
        <v>7</v>
      </c>
      <c r="H41" s="201">
        <v>8</v>
      </c>
      <c r="I41" s="201">
        <v>9</v>
      </c>
      <c r="J41" s="204">
        <v>10</v>
      </c>
      <c r="K41" s="204">
        <v>11</v>
      </c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192"/>
      <c r="AB41" s="192"/>
      <c r="AC41" s="192"/>
      <c r="AD41" s="192"/>
      <c r="AE41" s="192"/>
    </row>
    <row r="42" spans="1:31" ht="15.75" customHeight="1" hidden="1">
      <c r="A42" s="206"/>
      <c r="B42" s="207" t="s">
        <v>556</v>
      </c>
      <c r="C42" s="330">
        <v>2</v>
      </c>
      <c r="D42" s="330">
        <f>SUM(E42:H42)</f>
        <v>1560</v>
      </c>
      <c r="E42" s="330">
        <v>1560</v>
      </c>
      <c r="F42" s="203">
        <v>0</v>
      </c>
      <c r="G42" s="215">
        <v>0</v>
      </c>
      <c r="H42" s="215">
        <v>0</v>
      </c>
      <c r="I42" s="215">
        <v>1.15</v>
      </c>
      <c r="J42" s="331"/>
      <c r="K42" s="211" t="s">
        <v>557</v>
      </c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192"/>
      <c r="AB42" s="192"/>
      <c r="AC42" s="192"/>
      <c r="AD42" s="192"/>
      <c r="AE42" s="192"/>
    </row>
    <row r="43" spans="1:31" ht="15.75" customHeight="1" hidden="1">
      <c r="A43" s="206"/>
      <c r="B43" s="207" t="s">
        <v>558</v>
      </c>
      <c r="C43" s="330">
        <v>4</v>
      </c>
      <c r="D43" s="330">
        <f>SUM(E43:H43)</f>
        <v>2600</v>
      </c>
      <c r="E43" s="330">
        <v>2600</v>
      </c>
      <c r="F43" s="203">
        <v>0</v>
      </c>
      <c r="G43" s="215">
        <v>0</v>
      </c>
      <c r="H43" s="215">
        <v>0</v>
      </c>
      <c r="I43" s="215">
        <v>1.15</v>
      </c>
      <c r="J43" s="331"/>
      <c r="K43" s="211" t="s">
        <v>557</v>
      </c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92"/>
      <c r="AB43" s="192"/>
      <c r="AC43" s="192"/>
      <c r="AD43" s="192"/>
      <c r="AE43" s="192"/>
    </row>
    <row r="44" spans="1:31" ht="15.75" customHeight="1" hidden="1">
      <c r="A44" s="206"/>
      <c r="B44" s="207" t="s">
        <v>559</v>
      </c>
      <c r="C44" s="330">
        <v>5</v>
      </c>
      <c r="D44" s="330">
        <f>SUM(E44:H44)</f>
        <v>5074.76</v>
      </c>
      <c r="E44" s="330">
        <v>5074.76</v>
      </c>
      <c r="F44" s="203">
        <v>0</v>
      </c>
      <c r="G44" s="215">
        <v>0</v>
      </c>
      <c r="H44" s="215">
        <v>0</v>
      </c>
      <c r="I44" s="215">
        <v>1.15</v>
      </c>
      <c r="J44" s="331"/>
      <c r="K44" s="211" t="s">
        <v>557</v>
      </c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192"/>
      <c r="AB44" s="192"/>
      <c r="AC44" s="192"/>
      <c r="AD44" s="192"/>
      <c r="AE44" s="192"/>
    </row>
    <row r="45" spans="1:31" ht="15.75" customHeight="1" hidden="1">
      <c r="A45" s="206"/>
      <c r="B45" s="207" t="s">
        <v>560</v>
      </c>
      <c r="C45" s="536"/>
      <c r="D45" s="202"/>
      <c r="E45" s="203"/>
      <c r="F45" s="203"/>
      <c r="G45" s="215"/>
      <c r="H45" s="215"/>
      <c r="I45" s="215"/>
      <c r="J45" s="331"/>
      <c r="K45" s="211" t="s">
        <v>557</v>
      </c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192"/>
      <c r="AB45" s="192"/>
      <c r="AC45" s="192"/>
      <c r="AD45" s="192"/>
      <c r="AE45" s="192"/>
    </row>
    <row r="46" spans="1:31" ht="15.75" customHeight="1" hidden="1">
      <c r="A46" s="206"/>
      <c r="B46" s="207" t="s">
        <v>561</v>
      </c>
      <c r="C46" s="202" t="s">
        <v>562</v>
      </c>
      <c r="D46" s="202"/>
      <c r="E46" s="203" t="s">
        <v>562</v>
      </c>
      <c r="F46" s="203" t="s">
        <v>562</v>
      </c>
      <c r="G46" s="215" t="s">
        <v>562</v>
      </c>
      <c r="H46" s="215" t="s">
        <v>562</v>
      </c>
      <c r="I46" s="215" t="s">
        <v>562</v>
      </c>
      <c r="J46" s="331"/>
      <c r="K46" s="203" t="s">
        <v>562</v>
      </c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192"/>
      <c r="AB46" s="192"/>
      <c r="AC46" s="192"/>
      <c r="AD46" s="192"/>
      <c r="AE46" s="192"/>
    </row>
    <row r="47" spans="1:31" ht="15.75" customHeight="1" hidden="1">
      <c r="A47" s="206"/>
      <c r="B47" s="207" t="s">
        <v>556</v>
      </c>
      <c r="C47" s="202"/>
      <c r="D47" s="202"/>
      <c r="E47" s="203"/>
      <c r="F47" s="203"/>
      <c r="G47" s="215"/>
      <c r="H47" s="215"/>
      <c r="I47" s="215"/>
      <c r="J47" s="203">
        <f>(C47*D47*(1+H47/100)*I47*12)</f>
        <v>0</v>
      </c>
      <c r="K47" s="211" t="s">
        <v>563</v>
      </c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192"/>
      <c r="AB47" s="192"/>
      <c r="AC47" s="192"/>
      <c r="AD47" s="192"/>
      <c r="AE47" s="192"/>
    </row>
    <row r="48" spans="1:31" ht="15.75" customHeight="1" hidden="1">
      <c r="A48" s="206"/>
      <c r="B48" s="207" t="s">
        <v>558</v>
      </c>
      <c r="C48" s="202"/>
      <c r="D48" s="202"/>
      <c r="E48" s="203"/>
      <c r="F48" s="203"/>
      <c r="G48" s="215"/>
      <c r="H48" s="215"/>
      <c r="I48" s="215"/>
      <c r="J48" s="203">
        <f>(C48*D48*(1+H48/100)*I48*12)</f>
        <v>0</v>
      </c>
      <c r="K48" s="211" t="s">
        <v>563</v>
      </c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192"/>
      <c r="AB48" s="192"/>
      <c r="AC48" s="192"/>
      <c r="AD48" s="192"/>
      <c r="AE48" s="192"/>
    </row>
    <row r="49" spans="1:31" ht="15.75" customHeight="1" hidden="1">
      <c r="A49" s="206"/>
      <c r="B49" s="207" t="s">
        <v>559</v>
      </c>
      <c r="C49" s="202"/>
      <c r="D49" s="202"/>
      <c r="E49" s="203"/>
      <c r="F49" s="203"/>
      <c r="G49" s="215"/>
      <c r="H49" s="215"/>
      <c r="I49" s="215"/>
      <c r="J49" s="203">
        <f>(C49*D49*(1+H49/100)*I49*12)</f>
        <v>0</v>
      </c>
      <c r="K49" s="211" t="s">
        <v>563</v>
      </c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192"/>
      <c r="AB49" s="192"/>
      <c r="AC49" s="192"/>
      <c r="AD49" s="192"/>
      <c r="AE49" s="192"/>
    </row>
    <row r="50" spans="1:31" ht="15.75" customHeight="1" hidden="1">
      <c r="A50" s="206"/>
      <c r="B50" s="207" t="s">
        <v>560</v>
      </c>
      <c r="C50" s="202"/>
      <c r="D50" s="202"/>
      <c r="E50" s="203"/>
      <c r="F50" s="203"/>
      <c r="G50" s="215"/>
      <c r="H50" s="215"/>
      <c r="I50" s="215"/>
      <c r="J50" s="203">
        <f>(C50*D50*(1+H50/100)*I50*12)</f>
        <v>0</v>
      </c>
      <c r="K50" s="211" t="s">
        <v>563</v>
      </c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192"/>
      <c r="AB50" s="192"/>
      <c r="AC50" s="192"/>
      <c r="AD50" s="192"/>
      <c r="AE50" s="192"/>
    </row>
    <row r="51" spans="1:31" ht="15.75" customHeight="1" hidden="1">
      <c r="A51" s="206"/>
      <c r="B51" s="207" t="s">
        <v>561</v>
      </c>
      <c r="C51" s="202" t="s">
        <v>562</v>
      </c>
      <c r="D51" s="202"/>
      <c r="E51" s="203" t="s">
        <v>562</v>
      </c>
      <c r="F51" s="203" t="s">
        <v>562</v>
      </c>
      <c r="G51" s="215" t="s">
        <v>562</v>
      </c>
      <c r="H51" s="215" t="s">
        <v>562</v>
      </c>
      <c r="I51" s="215" t="s">
        <v>562</v>
      </c>
      <c r="J51" s="203">
        <f>SUM(J47:J50)</f>
        <v>0</v>
      </c>
      <c r="K51" s="203" t="s">
        <v>562</v>
      </c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</row>
    <row r="52" spans="1:11" ht="15.75" customHeight="1" hidden="1">
      <c r="A52" s="737" t="s">
        <v>561</v>
      </c>
      <c r="B52" s="738"/>
      <c r="C52" s="521"/>
      <c r="D52" s="217"/>
      <c r="E52" s="217"/>
      <c r="F52" s="217"/>
      <c r="G52" s="217"/>
      <c r="H52" s="217"/>
      <c r="I52" s="217"/>
      <c r="J52" s="218">
        <f>J46+J51</f>
        <v>0</v>
      </c>
      <c r="K52" s="219"/>
    </row>
    <row r="53" spans="1:12" ht="15.75" customHeight="1" hidden="1">
      <c r="A53" s="192"/>
      <c r="B53" s="220"/>
      <c r="C53" s="221"/>
      <c r="D53" s="220"/>
      <c r="E53" s="220"/>
      <c r="F53" s="220"/>
      <c r="G53" s="220"/>
      <c r="H53" s="220"/>
      <c r="I53" s="220"/>
      <c r="J53" s="222"/>
      <c r="K53" s="223"/>
      <c r="L53" s="391"/>
    </row>
    <row r="54" spans="1:12" ht="15.75" customHeight="1">
      <c r="A54" s="192"/>
      <c r="B54" s="220"/>
      <c r="C54" s="221"/>
      <c r="D54" s="220"/>
      <c r="E54" s="220"/>
      <c r="F54" s="220"/>
      <c r="G54" s="220"/>
      <c r="H54" s="220"/>
      <c r="I54" s="220"/>
      <c r="J54" s="222"/>
      <c r="K54" s="223"/>
      <c r="L54" s="391"/>
    </row>
    <row r="55" spans="1:11" ht="208.5" customHeight="1">
      <c r="A55" s="739" t="s">
        <v>564</v>
      </c>
      <c r="B55" s="739"/>
      <c r="C55" s="739"/>
      <c r="D55" s="739"/>
      <c r="E55" s="739"/>
      <c r="F55" s="739"/>
      <c r="G55" s="739"/>
      <c r="H55" s="739"/>
      <c r="I55" s="739"/>
      <c r="J55" s="739"/>
      <c r="K55" s="739"/>
    </row>
    <row r="56" spans="2:11" ht="15.75" customHeight="1">
      <c r="B56" s="729"/>
      <c r="C56" s="729"/>
      <c r="D56" s="729"/>
      <c r="E56" s="729"/>
      <c r="F56" s="729"/>
      <c r="G56" s="729"/>
      <c r="H56" s="729"/>
      <c r="I56" s="729"/>
      <c r="J56" s="729"/>
      <c r="K56" s="729"/>
    </row>
    <row r="57" spans="2:7" ht="15.75">
      <c r="B57" s="728" t="s">
        <v>822</v>
      </c>
      <c r="C57" s="728"/>
      <c r="D57" s="728"/>
      <c r="E57" s="728"/>
      <c r="F57" s="728"/>
      <c r="G57" s="728"/>
    </row>
    <row r="59" spans="1:9" ht="26.25" customHeight="1">
      <c r="A59" s="675" t="s">
        <v>545</v>
      </c>
      <c r="B59" s="677" t="s">
        <v>566</v>
      </c>
      <c r="C59" s="677" t="s">
        <v>573</v>
      </c>
      <c r="D59" s="677" t="s">
        <v>574</v>
      </c>
      <c r="E59" s="677" t="s">
        <v>575</v>
      </c>
      <c r="F59" s="653" t="s">
        <v>570</v>
      </c>
      <c r="G59" s="653"/>
      <c r="H59" s="653"/>
      <c r="I59" s="226"/>
    </row>
    <row r="60" spans="1:9" ht="51" customHeight="1">
      <c r="A60" s="676"/>
      <c r="B60" s="678"/>
      <c r="C60" s="678"/>
      <c r="D60" s="678"/>
      <c r="E60" s="678"/>
      <c r="F60" s="227" t="s">
        <v>33</v>
      </c>
      <c r="G60" s="227" t="s">
        <v>557</v>
      </c>
      <c r="H60" s="227" t="s">
        <v>563</v>
      </c>
      <c r="I60" s="228"/>
    </row>
    <row r="61" spans="1:9" ht="15.75">
      <c r="A61" s="206">
        <v>1</v>
      </c>
      <c r="B61" s="229">
        <v>2</v>
      </c>
      <c r="C61" s="229">
        <v>3</v>
      </c>
      <c r="D61" s="229">
        <v>4</v>
      </c>
      <c r="E61" s="229">
        <v>5</v>
      </c>
      <c r="F61" s="229">
        <v>6</v>
      </c>
      <c r="G61" s="229">
        <v>7</v>
      </c>
      <c r="H61" s="229">
        <v>8</v>
      </c>
      <c r="I61" s="231"/>
    </row>
    <row r="62" spans="1:9" ht="15.75">
      <c r="A62" s="206">
        <v>1</v>
      </c>
      <c r="B62" s="200" t="s">
        <v>821</v>
      </c>
      <c r="C62" s="206"/>
      <c r="D62" s="206"/>
      <c r="E62" s="206"/>
      <c r="F62" s="355">
        <f>H62</f>
        <v>18079.2</v>
      </c>
      <c r="G62" s="355"/>
      <c r="H62" s="355">
        <f>2*9039.6</f>
        <v>18079.2</v>
      </c>
      <c r="I62" s="192"/>
    </row>
    <row r="63" spans="1:9" ht="15.75">
      <c r="A63" s="206">
        <v>2</v>
      </c>
      <c r="B63" s="200" t="s">
        <v>821</v>
      </c>
      <c r="C63" s="206"/>
      <c r="D63" s="206"/>
      <c r="E63" s="206"/>
      <c r="F63" s="265">
        <f>G63</f>
        <v>24105.6</v>
      </c>
      <c r="G63" s="355">
        <f>2*12052.8</f>
        <v>24105.6</v>
      </c>
      <c r="H63" s="355"/>
      <c r="I63" s="192"/>
    </row>
    <row r="64" spans="1:9" ht="15.75">
      <c r="A64" s="650" t="s">
        <v>571</v>
      </c>
      <c r="B64" s="652"/>
      <c r="C64" s="200" t="s">
        <v>562</v>
      </c>
      <c r="D64" s="200" t="s">
        <v>562</v>
      </c>
      <c r="E64" s="200" t="s">
        <v>562</v>
      </c>
      <c r="F64" s="265">
        <f>F63+F62</f>
        <v>42184.8</v>
      </c>
      <c r="G64" s="355">
        <f>G63</f>
        <v>24105.6</v>
      </c>
      <c r="H64" s="355">
        <f>H62</f>
        <v>18079.2</v>
      </c>
      <c r="I64" s="192"/>
    </row>
    <row r="65" spans="2:11" ht="15.75" customHeight="1">
      <c r="B65" s="511"/>
      <c r="C65" s="511"/>
      <c r="D65" s="511"/>
      <c r="E65" s="511"/>
      <c r="F65" s="511"/>
      <c r="G65" s="511"/>
      <c r="H65" s="511"/>
      <c r="I65" s="511"/>
      <c r="J65" s="511"/>
      <c r="K65" s="511"/>
    </row>
    <row r="66" spans="2:11" ht="15.75" customHeight="1">
      <c r="B66" s="511"/>
      <c r="C66" s="511"/>
      <c r="D66" s="511"/>
      <c r="E66" s="511"/>
      <c r="F66" s="511"/>
      <c r="G66" s="511"/>
      <c r="H66" s="511"/>
      <c r="I66" s="511"/>
      <c r="J66" s="511"/>
      <c r="K66" s="511"/>
    </row>
    <row r="67" spans="2:11" ht="15.75" customHeight="1">
      <c r="B67" s="511"/>
      <c r="C67" s="511"/>
      <c r="D67" s="511"/>
      <c r="E67" s="511"/>
      <c r="F67" s="511"/>
      <c r="G67" s="511"/>
      <c r="H67" s="511"/>
      <c r="I67" s="511"/>
      <c r="J67" s="511"/>
      <c r="K67" s="511"/>
    </row>
    <row r="68" spans="2:9" ht="21" customHeight="1" hidden="1">
      <c r="B68" s="730" t="s">
        <v>565</v>
      </c>
      <c r="C68" s="730"/>
      <c r="D68" s="730"/>
      <c r="E68" s="730"/>
      <c r="F68" s="730"/>
      <c r="G68" s="730"/>
      <c r="H68" s="730"/>
      <c r="I68" s="730"/>
    </row>
    <row r="69" ht="15.75" hidden="1"/>
    <row r="70" spans="1:9" ht="26.25" customHeight="1" hidden="1">
      <c r="A70" s="675" t="s">
        <v>545</v>
      </c>
      <c r="B70" s="677" t="s">
        <v>566</v>
      </c>
      <c r="C70" s="677" t="s">
        <v>567</v>
      </c>
      <c r="D70" s="677" t="s">
        <v>568</v>
      </c>
      <c r="E70" s="677" t="s">
        <v>569</v>
      </c>
      <c r="F70" s="717" t="s">
        <v>570</v>
      </c>
      <c r="G70" s="718"/>
      <c r="H70" s="719"/>
      <c r="I70" s="226"/>
    </row>
    <row r="71" spans="1:9" ht="39.75" customHeight="1" hidden="1">
      <c r="A71" s="676"/>
      <c r="B71" s="678"/>
      <c r="C71" s="678"/>
      <c r="D71" s="678"/>
      <c r="E71" s="678"/>
      <c r="F71" s="227" t="s">
        <v>33</v>
      </c>
      <c r="G71" s="225" t="s">
        <v>557</v>
      </c>
      <c r="H71" s="227" t="s">
        <v>563</v>
      </c>
      <c r="I71" s="228"/>
    </row>
    <row r="72" spans="1:9" ht="15.75" hidden="1">
      <c r="A72" s="206">
        <v>1</v>
      </c>
      <c r="B72" s="229">
        <v>2</v>
      </c>
      <c r="C72" s="229">
        <v>3</v>
      </c>
      <c r="D72" s="229">
        <v>4</v>
      </c>
      <c r="E72" s="229">
        <v>5</v>
      </c>
      <c r="F72" s="229">
        <v>6</v>
      </c>
      <c r="G72" s="230">
        <v>7</v>
      </c>
      <c r="H72" s="229">
        <v>8</v>
      </c>
      <c r="I72" s="231"/>
    </row>
    <row r="73" spans="1:9" ht="15.75" hidden="1">
      <c r="A73" s="206"/>
      <c r="B73" s="200"/>
      <c r="C73" s="206"/>
      <c r="D73" s="206"/>
      <c r="E73" s="206"/>
      <c r="F73" s="232"/>
      <c r="G73" s="233"/>
      <c r="H73" s="232"/>
      <c r="I73" s="192"/>
    </row>
    <row r="74" spans="1:9" ht="15.75" hidden="1">
      <c r="A74" s="206"/>
      <c r="B74" s="200"/>
      <c r="C74" s="206"/>
      <c r="D74" s="206"/>
      <c r="E74" s="206"/>
      <c r="F74" s="206"/>
      <c r="G74" s="233"/>
      <c r="H74" s="232"/>
      <c r="I74" s="192"/>
    </row>
    <row r="75" spans="1:9" ht="15.75" hidden="1">
      <c r="A75" s="650" t="s">
        <v>571</v>
      </c>
      <c r="B75" s="652"/>
      <c r="C75" s="200" t="s">
        <v>562</v>
      </c>
      <c r="D75" s="200" t="s">
        <v>562</v>
      </c>
      <c r="E75" s="200" t="s">
        <v>562</v>
      </c>
      <c r="F75" s="206"/>
      <c r="G75" s="233"/>
      <c r="H75" s="232"/>
      <c r="I75" s="192"/>
    </row>
    <row r="77" spans="2:6" ht="15.75">
      <c r="B77" s="728" t="s">
        <v>572</v>
      </c>
      <c r="C77" s="728"/>
      <c r="D77" s="728"/>
      <c r="E77" s="728"/>
      <c r="F77" s="728"/>
    </row>
    <row r="79" spans="1:9" ht="26.25" customHeight="1">
      <c r="A79" s="675" t="s">
        <v>545</v>
      </c>
      <c r="B79" s="677" t="s">
        <v>566</v>
      </c>
      <c r="C79" s="677" t="s">
        <v>573</v>
      </c>
      <c r="D79" s="677" t="s">
        <v>574</v>
      </c>
      <c r="E79" s="677" t="s">
        <v>575</v>
      </c>
      <c r="F79" s="653" t="s">
        <v>570</v>
      </c>
      <c r="G79" s="653"/>
      <c r="H79" s="653"/>
      <c r="I79" s="226"/>
    </row>
    <row r="80" spans="1:9" ht="51" customHeight="1">
      <c r="A80" s="676"/>
      <c r="B80" s="678"/>
      <c r="C80" s="678"/>
      <c r="D80" s="678"/>
      <c r="E80" s="678"/>
      <c r="F80" s="227" t="s">
        <v>33</v>
      </c>
      <c r="G80" s="227" t="s">
        <v>557</v>
      </c>
      <c r="H80" s="227" t="s">
        <v>563</v>
      </c>
      <c r="I80" s="228"/>
    </row>
    <row r="81" spans="1:9" ht="15.75">
      <c r="A81" s="206">
        <v>1</v>
      </c>
      <c r="B81" s="229">
        <v>2</v>
      </c>
      <c r="C81" s="229">
        <v>3</v>
      </c>
      <c r="D81" s="229">
        <v>4</v>
      </c>
      <c r="E81" s="229">
        <v>5</v>
      </c>
      <c r="F81" s="229">
        <v>6</v>
      </c>
      <c r="G81" s="229">
        <v>7</v>
      </c>
      <c r="H81" s="229">
        <v>8</v>
      </c>
      <c r="I81" s="231"/>
    </row>
    <row r="82" spans="1:9" ht="47.25">
      <c r="A82" s="232">
        <v>1</v>
      </c>
      <c r="B82" s="537" t="s">
        <v>915</v>
      </c>
      <c r="C82" s="232" t="s">
        <v>754</v>
      </c>
      <c r="D82" s="232" t="s">
        <v>754</v>
      </c>
      <c r="E82" s="232" t="s">
        <v>754</v>
      </c>
      <c r="F82" s="355">
        <f>SUM(G82:H82)</f>
        <v>100000</v>
      </c>
      <c r="G82" s="355">
        <v>100000</v>
      </c>
      <c r="H82" s="232"/>
      <c r="I82" s="192"/>
    </row>
    <row r="83" spans="1:9" ht="15.75">
      <c r="A83" s="206"/>
      <c r="B83" s="200"/>
      <c r="C83" s="206"/>
      <c r="D83" s="206"/>
      <c r="E83" s="206"/>
      <c r="F83" s="206"/>
      <c r="G83" s="232"/>
      <c r="H83" s="232"/>
      <c r="I83" s="192"/>
    </row>
    <row r="84" spans="1:9" ht="15.75">
      <c r="A84" s="650" t="s">
        <v>571</v>
      </c>
      <c r="B84" s="652"/>
      <c r="C84" s="200" t="s">
        <v>562</v>
      </c>
      <c r="D84" s="200" t="s">
        <v>562</v>
      </c>
      <c r="E84" s="200" t="s">
        <v>562</v>
      </c>
      <c r="F84" s="356">
        <f>F82</f>
        <v>100000</v>
      </c>
      <c r="G84" s="355">
        <f>G82</f>
        <v>100000</v>
      </c>
      <c r="H84" s="232"/>
      <c r="I84" s="192"/>
    </row>
    <row r="86" spans="2:6" ht="15.75" hidden="1">
      <c r="B86" s="728" t="s">
        <v>914</v>
      </c>
      <c r="C86" s="728"/>
      <c r="D86" s="728"/>
      <c r="E86" s="728"/>
      <c r="F86" s="728"/>
    </row>
    <row r="87" ht="15.75" hidden="1"/>
    <row r="88" spans="1:9" ht="15.75" hidden="1">
      <c r="A88" s="675" t="s">
        <v>545</v>
      </c>
      <c r="B88" s="677" t="s">
        <v>566</v>
      </c>
      <c r="C88" s="677" t="s">
        <v>573</v>
      </c>
      <c r="D88" s="677" t="s">
        <v>574</v>
      </c>
      <c r="E88" s="677" t="s">
        <v>575</v>
      </c>
      <c r="F88" s="653" t="s">
        <v>570</v>
      </c>
      <c r="G88" s="653"/>
      <c r="H88" s="653"/>
      <c r="I88" s="226"/>
    </row>
    <row r="89" spans="1:9" ht="31.5" hidden="1">
      <c r="A89" s="676"/>
      <c r="B89" s="678"/>
      <c r="C89" s="678"/>
      <c r="D89" s="678"/>
      <c r="E89" s="678"/>
      <c r="F89" s="227" t="s">
        <v>33</v>
      </c>
      <c r="G89" s="227" t="s">
        <v>557</v>
      </c>
      <c r="H89" s="227" t="s">
        <v>563</v>
      </c>
      <c r="I89" s="228"/>
    </row>
    <row r="90" spans="1:9" ht="15.75" hidden="1">
      <c r="A90" s="206">
        <v>1</v>
      </c>
      <c r="B90" s="229">
        <v>2</v>
      </c>
      <c r="C90" s="229">
        <v>3</v>
      </c>
      <c r="D90" s="229">
        <v>4</v>
      </c>
      <c r="E90" s="229">
        <v>5</v>
      </c>
      <c r="F90" s="229">
        <v>6</v>
      </c>
      <c r="G90" s="229">
        <v>7</v>
      </c>
      <c r="H90" s="229">
        <v>8</v>
      </c>
      <c r="I90" s="231"/>
    </row>
    <row r="91" spans="1:9" ht="47.25" hidden="1">
      <c r="A91" s="232">
        <v>1</v>
      </c>
      <c r="B91" s="537" t="s">
        <v>915</v>
      </c>
      <c r="C91" s="232" t="s">
        <v>754</v>
      </c>
      <c r="D91" s="232" t="s">
        <v>754</v>
      </c>
      <c r="E91" s="232" t="s">
        <v>754</v>
      </c>
      <c r="F91" s="355">
        <f>SUM(G91:H91)</f>
        <v>0</v>
      </c>
      <c r="G91" s="355"/>
      <c r="H91" s="355">
        <v>0</v>
      </c>
      <c r="I91" s="192"/>
    </row>
    <row r="92" spans="1:9" ht="16.5" hidden="1">
      <c r="A92" s="650" t="s">
        <v>571</v>
      </c>
      <c r="B92" s="652"/>
      <c r="C92" s="200" t="s">
        <v>562</v>
      </c>
      <c r="D92" s="200" t="s">
        <v>562</v>
      </c>
      <c r="E92" s="200" t="s">
        <v>562</v>
      </c>
      <c r="F92" s="522">
        <f>SUM(F91)</f>
        <v>0</v>
      </c>
      <c r="G92" s="522">
        <f>SUM(G91)</f>
        <v>0</v>
      </c>
      <c r="H92" s="522">
        <f>SUM(H91)</f>
        <v>0</v>
      </c>
      <c r="I92" s="192"/>
    </row>
    <row r="94" spans="2:9" ht="33" customHeight="1">
      <c r="B94" s="727" t="s">
        <v>576</v>
      </c>
      <c r="C94" s="727"/>
      <c r="D94" s="727"/>
      <c r="E94" s="727"/>
      <c r="F94" s="727"/>
      <c r="G94" s="727"/>
      <c r="H94" s="727"/>
      <c r="I94" s="727"/>
    </row>
    <row r="96" spans="1:9" ht="31.5" customHeight="1">
      <c r="A96" s="671" t="s">
        <v>545</v>
      </c>
      <c r="B96" s="653" t="s">
        <v>577</v>
      </c>
      <c r="C96" s="653"/>
      <c r="D96" s="653"/>
      <c r="E96" s="677" t="s">
        <v>578</v>
      </c>
      <c r="F96" s="653" t="s">
        <v>579</v>
      </c>
      <c r="G96" s="653"/>
      <c r="H96" s="653"/>
      <c r="I96" s="234"/>
    </row>
    <row r="97" spans="1:9" ht="31.5" customHeight="1">
      <c r="A97" s="672"/>
      <c r="B97" s="653"/>
      <c r="C97" s="653"/>
      <c r="D97" s="653"/>
      <c r="E97" s="678"/>
      <c r="F97" s="227" t="s">
        <v>580</v>
      </c>
      <c r="G97" s="227" t="s">
        <v>557</v>
      </c>
      <c r="H97" s="227" t="s">
        <v>563</v>
      </c>
      <c r="I97" s="228"/>
    </row>
    <row r="98" spans="1:9" ht="17.25" customHeight="1">
      <c r="A98" s="235">
        <v>1</v>
      </c>
      <c r="B98" s="726">
        <v>2</v>
      </c>
      <c r="C98" s="726"/>
      <c r="D98" s="726"/>
      <c r="E98" s="200">
        <v>3</v>
      </c>
      <c r="F98" s="200">
        <v>4</v>
      </c>
      <c r="G98" s="200">
        <v>5</v>
      </c>
      <c r="H98" s="200">
        <v>6</v>
      </c>
      <c r="I98" s="237"/>
    </row>
    <row r="99" spans="1:9" s="188" customFormat="1" ht="32.25" customHeight="1">
      <c r="A99" s="238">
        <v>1</v>
      </c>
      <c r="B99" s="723" t="s">
        <v>581</v>
      </c>
      <c r="C99" s="724"/>
      <c r="D99" s="725"/>
      <c r="E99" s="232" t="s">
        <v>562</v>
      </c>
      <c r="F99" s="232"/>
      <c r="G99" s="232"/>
      <c r="H99" s="232"/>
      <c r="I99" s="192"/>
    </row>
    <row r="100" spans="1:9" ht="34.5" customHeight="1">
      <c r="A100" s="238" t="s">
        <v>582</v>
      </c>
      <c r="B100" s="723" t="s">
        <v>583</v>
      </c>
      <c r="C100" s="724"/>
      <c r="D100" s="725"/>
      <c r="E100" s="239">
        <f>J19</f>
        <v>2791597.5840000003</v>
      </c>
      <c r="F100" s="239">
        <f>SUM(G100:H100)</f>
        <v>614147.4</v>
      </c>
      <c r="G100" s="239">
        <f>ROUND(E100*22%,2)-0.62-2.1-1.35</f>
        <v>614147.4</v>
      </c>
      <c r="H100" s="206"/>
      <c r="I100" s="192"/>
    </row>
    <row r="101" spans="1:9" ht="16.5" customHeight="1">
      <c r="A101" s="238" t="s">
        <v>584</v>
      </c>
      <c r="B101" s="723" t="s">
        <v>585</v>
      </c>
      <c r="C101" s="724"/>
      <c r="D101" s="725"/>
      <c r="E101" s="240">
        <v>0</v>
      </c>
      <c r="F101" s="240"/>
      <c r="G101" s="240"/>
      <c r="H101" s="206"/>
      <c r="I101" s="192"/>
    </row>
    <row r="102" spans="1:9" ht="34.5" customHeight="1">
      <c r="A102" s="238" t="s">
        <v>586</v>
      </c>
      <c r="B102" s="723" t="s">
        <v>587</v>
      </c>
      <c r="C102" s="724"/>
      <c r="D102" s="725"/>
      <c r="E102" s="240">
        <v>0</v>
      </c>
      <c r="F102" s="240"/>
      <c r="G102" s="240"/>
      <c r="H102" s="206"/>
      <c r="I102" s="192"/>
    </row>
    <row r="103" spans="1:9" ht="33" customHeight="1">
      <c r="A103" s="238" t="s">
        <v>588</v>
      </c>
      <c r="B103" s="723" t="s">
        <v>589</v>
      </c>
      <c r="C103" s="724"/>
      <c r="D103" s="725"/>
      <c r="E103" s="239">
        <f>SUM(F103:G103)</f>
        <v>0</v>
      </c>
      <c r="F103" s="239">
        <f>SUM(G103:H103)</f>
        <v>0</v>
      </c>
      <c r="G103" s="240"/>
      <c r="H103" s="206"/>
      <c r="I103" s="192"/>
    </row>
    <row r="104" spans="1:9" ht="41.25" customHeight="1">
      <c r="A104" s="238" t="s">
        <v>590</v>
      </c>
      <c r="B104" s="720" t="s">
        <v>591</v>
      </c>
      <c r="C104" s="721"/>
      <c r="D104" s="722"/>
      <c r="E104" s="239">
        <f>E100</f>
        <v>2791597.5840000003</v>
      </c>
      <c r="F104" s="239">
        <f>SUM(G104:H104)</f>
        <v>80956.33</v>
      </c>
      <c r="G104" s="239">
        <f>ROUND(E104*2.9%,2)</f>
        <v>80956.33</v>
      </c>
      <c r="H104" s="206"/>
      <c r="I104" s="192"/>
    </row>
    <row r="105" spans="1:9" ht="34.5" customHeight="1">
      <c r="A105" s="238" t="s">
        <v>592</v>
      </c>
      <c r="B105" s="723" t="s">
        <v>593</v>
      </c>
      <c r="C105" s="724"/>
      <c r="D105" s="725"/>
      <c r="E105" s="240">
        <v>0</v>
      </c>
      <c r="F105" s="240"/>
      <c r="G105" s="240"/>
      <c r="H105" s="206"/>
      <c r="I105" s="192"/>
    </row>
    <row r="106" spans="1:9" ht="33.75" customHeight="1">
      <c r="A106" s="238" t="s">
        <v>594</v>
      </c>
      <c r="B106" s="723" t="s">
        <v>595</v>
      </c>
      <c r="C106" s="724"/>
      <c r="D106" s="725"/>
      <c r="E106" s="239">
        <f>E104</f>
        <v>2791597.5840000003</v>
      </c>
      <c r="F106" s="239">
        <f>SUM(G106:H106)</f>
        <v>5583.2</v>
      </c>
      <c r="G106" s="239">
        <f>ROUND(E106*0.2%,2)</f>
        <v>5583.2</v>
      </c>
      <c r="H106" s="206"/>
      <c r="I106" s="192"/>
    </row>
    <row r="107" spans="1:9" ht="33.75" customHeight="1">
      <c r="A107" s="238" t="s">
        <v>596</v>
      </c>
      <c r="B107" s="723" t="s">
        <v>597</v>
      </c>
      <c r="C107" s="724"/>
      <c r="D107" s="725"/>
      <c r="E107" s="240">
        <v>0</v>
      </c>
      <c r="F107" s="240"/>
      <c r="G107" s="240"/>
      <c r="H107" s="206"/>
      <c r="I107" s="192"/>
    </row>
    <row r="108" spans="1:9" ht="39.75" customHeight="1">
      <c r="A108" s="238" t="s">
        <v>598</v>
      </c>
      <c r="B108" s="723" t="s">
        <v>597</v>
      </c>
      <c r="C108" s="724"/>
      <c r="D108" s="725"/>
      <c r="E108" s="240">
        <v>0</v>
      </c>
      <c r="F108" s="240"/>
      <c r="G108" s="240"/>
      <c r="H108" s="206"/>
      <c r="I108" s="192"/>
    </row>
    <row r="109" spans="1:9" ht="30" customHeight="1">
      <c r="A109" s="238" t="s">
        <v>599</v>
      </c>
      <c r="B109" s="723" t="s">
        <v>600</v>
      </c>
      <c r="C109" s="724"/>
      <c r="D109" s="725"/>
      <c r="E109" s="239">
        <f>E106</f>
        <v>2791597.5840000003</v>
      </c>
      <c r="F109" s="239">
        <f>SUM(G109:H109)</f>
        <v>142371.48</v>
      </c>
      <c r="G109" s="239">
        <f>ROUND(E109*5.1%,2)</f>
        <v>142371.48</v>
      </c>
      <c r="H109" s="206"/>
      <c r="I109" s="192"/>
    </row>
    <row r="110" spans="1:9" ht="30" customHeight="1">
      <c r="A110" s="238"/>
      <c r="B110" s="723" t="s">
        <v>581</v>
      </c>
      <c r="C110" s="724"/>
      <c r="D110" s="725"/>
      <c r="E110" s="232" t="s">
        <v>562</v>
      </c>
      <c r="F110" s="232">
        <f>SUM(G110:H110)</f>
        <v>118081.58</v>
      </c>
      <c r="G110" s="232">
        <f>SUM(G111:G112)</f>
        <v>118081.58</v>
      </c>
      <c r="H110" s="232">
        <f>SUM(H111:H112)</f>
        <v>0</v>
      </c>
      <c r="I110" s="192"/>
    </row>
    <row r="111" spans="1:9" ht="30" customHeight="1">
      <c r="A111" s="238"/>
      <c r="B111" s="723" t="s">
        <v>583</v>
      </c>
      <c r="C111" s="724"/>
      <c r="D111" s="725"/>
      <c r="E111" s="232">
        <v>536734.44</v>
      </c>
      <c r="F111" s="232">
        <f>SUM(G111:H111)</f>
        <v>118081.58</v>
      </c>
      <c r="G111" s="232">
        <v>118081.58</v>
      </c>
      <c r="H111" s="232">
        <v>0</v>
      </c>
      <c r="I111" s="192"/>
    </row>
    <row r="112" spans="1:9" ht="30" customHeight="1">
      <c r="A112" s="238"/>
      <c r="B112" s="723" t="s">
        <v>585</v>
      </c>
      <c r="C112" s="724"/>
      <c r="D112" s="725"/>
      <c r="E112" s="206"/>
      <c r="F112" s="232"/>
      <c r="G112" s="232"/>
      <c r="H112" s="232"/>
      <c r="I112" s="192"/>
    </row>
    <row r="113" spans="1:9" ht="30" customHeight="1">
      <c r="A113" s="238"/>
      <c r="B113" s="723" t="s">
        <v>587</v>
      </c>
      <c r="C113" s="724"/>
      <c r="D113" s="725"/>
      <c r="E113" s="206"/>
      <c r="F113" s="232"/>
      <c r="G113" s="232"/>
      <c r="H113" s="232"/>
      <c r="I113" s="192"/>
    </row>
    <row r="114" spans="1:9" ht="30" customHeight="1">
      <c r="A114" s="238"/>
      <c r="B114" s="723" t="s">
        <v>589</v>
      </c>
      <c r="C114" s="724"/>
      <c r="D114" s="725"/>
      <c r="E114" s="232" t="s">
        <v>562</v>
      </c>
      <c r="F114" s="232">
        <f>SUM(G114:H114)</f>
        <v>16638.08</v>
      </c>
      <c r="G114" s="232">
        <f>SUM(G115+G117)</f>
        <v>16638.08</v>
      </c>
      <c r="H114" s="232">
        <f>SUM(H115+H117)</f>
        <v>0</v>
      </c>
      <c r="I114" s="192"/>
    </row>
    <row r="115" spans="1:9" ht="30" customHeight="1">
      <c r="A115" s="238"/>
      <c r="B115" s="720" t="s">
        <v>591</v>
      </c>
      <c r="C115" s="721"/>
      <c r="D115" s="722"/>
      <c r="E115" s="232">
        <v>536734.44</v>
      </c>
      <c r="F115" s="232">
        <f>SUM(G115:H115)</f>
        <v>15564.61</v>
      </c>
      <c r="G115" s="232">
        <v>15564.61</v>
      </c>
      <c r="H115" s="232">
        <v>0</v>
      </c>
      <c r="I115" s="192"/>
    </row>
    <row r="116" spans="1:9" ht="30" customHeight="1">
      <c r="A116" s="238"/>
      <c r="B116" s="723" t="s">
        <v>593</v>
      </c>
      <c r="C116" s="724"/>
      <c r="D116" s="725"/>
      <c r="E116" s="206"/>
      <c r="F116" s="232"/>
      <c r="G116" s="232"/>
      <c r="H116" s="232"/>
      <c r="I116" s="192"/>
    </row>
    <row r="117" spans="1:9" ht="30" customHeight="1">
      <c r="A117" s="238"/>
      <c r="B117" s="723" t="s">
        <v>595</v>
      </c>
      <c r="C117" s="724"/>
      <c r="D117" s="725"/>
      <c r="E117" s="232">
        <v>536734.44</v>
      </c>
      <c r="F117" s="232">
        <f>SUM(G117:H117)</f>
        <v>1073.47</v>
      </c>
      <c r="G117" s="232">
        <v>1073.47</v>
      </c>
      <c r="H117" s="232">
        <v>0</v>
      </c>
      <c r="I117" s="192"/>
    </row>
    <row r="118" spans="1:9" ht="30" customHeight="1">
      <c r="A118" s="238"/>
      <c r="B118" s="723" t="s">
        <v>597</v>
      </c>
      <c r="C118" s="724"/>
      <c r="D118" s="725"/>
      <c r="E118" s="206"/>
      <c r="F118" s="232"/>
      <c r="G118" s="232"/>
      <c r="H118" s="232"/>
      <c r="I118" s="192"/>
    </row>
    <row r="119" spans="1:9" ht="30" customHeight="1">
      <c r="A119" s="238"/>
      <c r="B119" s="723" t="s">
        <v>597</v>
      </c>
      <c r="C119" s="724"/>
      <c r="D119" s="725"/>
      <c r="E119" s="206"/>
      <c r="F119" s="232"/>
      <c r="G119" s="232"/>
      <c r="H119" s="232"/>
      <c r="I119" s="192"/>
    </row>
    <row r="120" spans="1:9" ht="30" customHeight="1">
      <c r="A120" s="238"/>
      <c r="B120" s="723" t="s">
        <v>600</v>
      </c>
      <c r="C120" s="724"/>
      <c r="D120" s="725"/>
      <c r="E120" s="232">
        <v>536734.44</v>
      </c>
      <c r="F120" s="232">
        <f>SUM(G120:H120)</f>
        <v>27373.46</v>
      </c>
      <c r="G120" s="232">
        <v>27373.46</v>
      </c>
      <c r="H120" s="232">
        <v>0</v>
      </c>
      <c r="I120" s="192"/>
    </row>
    <row r="121" spans="1:9" ht="30" customHeight="1">
      <c r="A121" s="238"/>
      <c r="B121" s="558"/>
      <c r="C121" s="559"/>
      <c r="D121" s="560"/>
      <c r="E121" s="239"/>
      <c r="F121" s="239"/>
      <c r="G121" s="239"/>
      <c r="H121" s="206"/>
      <c r="I121" s="192"/>
    </row>
    <row r="122" spans="1:9" ht="30" customHeight="1">
      <c r="A122" s="238"/>
      <c r="B122" s="558"/>
      <c r="C122" s="559"/>
      <c r="D122" s="560"/>
      <c r="E122" s="239"/>
      <c r="F122" s="239"/>
      <c r="G122" s="239"/>
      <c r="H122" s="206"/>
      <c r="I122" s="192"/>
    </row>
    <row r="123" spans="1:9" ht="30.75" customHeight="1">
      <c r="A123" s="713" t="s">
        <v>571</v>
      </c>
      <c r="B123" s="713"/>
      <c r="C123" s="713"/>
      <c r="D123" s="713"/>
      <c r="E123" s="240" t="s">
        <v>562</v>
      </c>
      <c r="F123" s="241">
        <f>SUM(F100:F109)+F111+F114+F120</f>
        <v>1005151.5299999998</v>
      </c>
      <c r="G123" s="241">
        <f>SUM(G100:G109)+G111+G114+G120</f>
        <v>1005151.5299999998</v>
      </c>
      <c r="H123" s="242">
        <f>H99+H103+H109</f>
        <v>0</v>
      </c>
      <c r="I123" s="192"/>
    </row>
    <row r="124" spans="2:6" ht="16.5" customHeight="1">
      <c r="B124" s="243"/>
      <c r="C124" s="243"/>
      <c r="D124" s="243"/>
      <c r="E124" s="237"/>
      <c r="F124" s="192"/>
    </row>
    <row r="125" spans="2:9" ht="16.5" customHeight="1" hidden="1">
      <c r="B125" s="727" t="s">
        <v>855</v>
      </c>
      <c r="C125" s="727"/>
      <c r="D125" s="727"/>
      <c r="E125" s="727"/>
      <c r="F125" s="727"/>
      <c r="G125" s="727"/>
      <c r="H125" s="727"/>
      <c r="I125" s="727"/>
    </row>
    <row r="126" ht="16.5" customHeight="1" hidden="1"/>
    <row r="127" spans="1:9" ht="16.5" customHeight="1" hidden="1">
      <c r="A127" s="671" t="s">
        <v>545</v>
      </c>
      <c r="B127" s="653" t="s">
        <v>577</v>
      </c>
      <c r="C127" s="653"/>
      <c r="D127" s="653"/>
      <c r="E127" s="677" t="s">
        <v>578</v>
      </c>
      <c r="F127" s="653" t="s">
        <v>579</v>
      </c>
      <c r="G127" s="653"/>
      <c r="H127" s="653"/>
      <c r="I127" s="234"/>
    </row>
    <row r="128" spans="1:9" ht="16.5" customHeight="1" hidden="1">
      <c r="A128" s="672"/>
      <c r="B128" s="653"/>
      <c r="C128" s="653"/>
      <c r="D128" s="653"/>
      <c r="E128" s="678"/>
      <c r="F128" s="227" t="s">
        <v>580</v>
      </c>
      <c r="G128" s="227" t="s">
        <v>557</v>
      </c>
      <c r="H128" s="227" t="s">
        <v>563</v>
      </c>
      <c r="I128" s="228"/>
    </row>
    <row r="129" spans="1:9" ht="16.5" customHeight="1" hidden="1">
      <c r="A129" s="235">
        <v>1</v>
      </c>
      <c r="B129" s="726">
        <v>2</v>
      </c>
      <c r="C129" s="726"/>
      <c r="D129" s="726"/>
      <c r="E129" s="200">
        <v>3</v>
      </c>
      <c r="F129" s="200">
        <v>4</v>
      </c>
      <c r="G129" s="200">
        <v>5</v>
      </c>
      <c r="H129" s="200">
        <v>6</v>
      </c>
      <c r="I129" s="237"/>
    </row>
    <row r="130" spans="1:9" s="188" customFormat="1" ht="20.25" customHeight="1" hidden="1">
      <c r="A130" s="238">
        <v>1</v>
      </c>
      <c r="B130" s="723" t="s">
        <v>581</v>
      </c>
      <c r="C130" s="724"/>
      <c r="D130" s="725"/>
      <c r="E130" s="232" t="s">
        <v>562</v>
      </c>
      <c r="F130" s="232"/>
      <c r="G130" s="232"/>
      <c r="H130" s="232">
        <f>SUM(H131:H132)</f>
        <v>0</v>
      </c>
      <c r="I130" s="192"/>
    </row>
    <row r="131" spans="1:9" ht="31.5" customHeight="1" hidden="1">
      <c r="A131" s="238" t="s">
        <v>582</v>
      </c>
      <c r="B131" s="723" t="s">
        <v>583</v>
      </c>
      <c r="C131" s="724"/>
      <c r="D131" s="725"/>
      <c r="E131" s="232">
        <v>536734.44</v>
      </c>
      <c r="F131" s="232"/>
      <c r="G131" s="232"/>
      <c r="H131" s="232">
        <v>0</v>
      </c>
      <c r="I131" s="192"/>
    </row>
    <row r="132" spans="1:9" ht="16.5" customHeight="1" hidden="1">
      <c r="A132" s="238" t="s">
        <v>584</v>
      </c>
      <c r="B132" s="723" t="s">
        <v>585</v>
      </c>
      <c r="C132" s="724"/>
      <c r="D132" s="725"/>
      <c r="E132" s="206"/>
      <c r="F132" s="232"/>
      <c r="G132" s="232"/>
      <c r="H132" s="232"/>
      <c r="I132" s="192"/>
    </row>
    <row r="133" spans="1:9" ht="16.5" customHeight="1" hidden="1">
      <c r="A133" s="238" t="s">
        <v>586</v>
      </c>
      <c r="B133" s="723" t="s">
        <v>587</v>
      </c>
      <c r="C133" s="724"/>
      <c r="D133" s="725"/>
      <c r="E133" s="206"/>
      <c r="F133" s="232"/>
      <c r="G133" s="232"/>
      <c r="H133" s="232"/>
      <c r="I133" s="192"/>
    </row>
    <row r="134" spans="1:9" ht="30" customHeight="1" hidden="1">
      <c r="A134" s="238" t="s">
        <v>588</v>
      </c>
      <c r="B134" s="723" t="s">
        <v>589</v>
      </c>
      <c r="C134" s="724"/>
      <c r="D134" s="725"/>
      <c r="E134" s="232" t="s">
        <v>562</v>
      </c>
      <c r="F134" s="232"/>
      <c r="G134" s="232"/>
      <c r="H134" s="232">
        <f>SUM(H135+H137)</f>
        <v>0</v>
      </c>
      <c r="I134" s="192"/>
    </row>
    <row r="135" spans="1:9" ht="16.5" customHeight="1" hidden="1">
      <c r="A135" s="238" t="s">
        <v>590</v>
      </c>
      <c r="B135" s="720" t="s">
        <v>591</v>
      </c>
      <c r="C135" s="721"/>
      <c r="D135" s="722"/>
      <c r="E135" s="232">
        <v>536734.44</v>
      </c>
      <c r="F135" s="232"/>
      <c r="G135" s="232"/>
      <c r="H135" s="232">
        <v>0</v>
      </c>
      <c r="I135" s="192"/>
    </row>
    <row r="136" spans="1:9" ht="31.5" customHeight="1" hidden="1">
      <c r="A136" s="238" t="s">
        <v>592</v>
      </c>
      <c r="B136" s="723" t="s">
        <v>593</v>
      </c>
      <c r="C136" s="724"/>
      <c r="D136" s="725"/>
      <c r="E136" s="206"/>
      <c r="F136" s="232"/>
      <c r="G136" s="232"/>
      <c r="H136" s="232"/>
      <c r="I136" s="192"/>
    </row>
    <row r="137" spans="1:9" ht="31.5" customHeight="1" hidden="1">
      <c r="A137" s="238" t="s">
        <v>594</v>
      </c>
      <c r="B137" s="723" t="s">
        <v>595</v>
      </c>
      <c r="C137" s="724"/>
      <c r="D137" s="725"/>
      <c r="E137" s="232">
        <v>536734.44</v>
      </c>
      <c r="F137" s="232"/>
      <c r="G137" s="232"/>
      <c r="H137" s="232">
        <v>0</v>
      </c>
      <c r="I137" s="192"/>
    </row>
    <row r="138" spans="1:9" ht="31.5" customHeight="1" hidden="1">
      <c r="A138" s="238" t="s">
        <v>596</v>
      </c>
      <c r="B138" s="723" t="s">
        <v>597</v>
      </c>
      <c r="C138" s="724"/>
      <c r="D138" s="725"/>
      <c r="E138" s="206"/>
      <c r="F138" s="232"/>
      <c r="G138" s="232"/>
      <c r="H138" s="232"/>
      <c r="I138" s="192"/>
    </row>
    <row r="139" spans="1:9" ht="30" customHeight="1" hidden="1">
      <c r="A139" s="238" t="s">
        <v>598</v>
      </c>
      <c r="B139" s="723" t="s">
        <v>597</v>
      </c>
      <c r="C139" s="724"/>
      <c r="D139" s="725"/>
      <c r="E139" s="206"/>
      <c r="F139" s="232"/>
      <c r="G139" s="232"/>
      <c r="H139" s="232"/>
      <c r="I139" s="192"/>
    </row>
    <row r="140" spans="1:9" ht="31.5" customHeight="1" hidden="1">
      <c r="A140" s="238" t="s">
        <v>599</v>
      </c>
      <c r="B140" s="723" t="s">
        <v>600</v>
      </c>
      <c r="C140" s="724"/>
      <c r="D140" s="725"/>
      <c r="E140" s="232">
        <v>536734.44</v>
      </c>
      <c r="F140" s="232"/>
      <c r="G140" s="232"/>
      <c r="H140" s="232">
        <v>0</v>
      </c>
      <c r="I140" s="192"/>
    </row>
    <row r="141" spans="1:9" ht="16.5" customHeight="1" hidden="1">
      <c r="A141" s="713" t="s">
        <v>571</v>
      </c>
      <c r="B141" s="713"/>
      <c r="C141" s="713"/>
      <c r="D141" s="713"/>
      <c r="E141" s="200" t="s">
        <v>562</v>
      </c>
      <c r="F141" s="363">
        <f>F130+F134+F140</f>
        <v>0</v>
      </c>
      <c r="G141" s="363">
        <f>G130+G134+G140</f>
        <v>0</v>
      </c>
      <c r="H141" s="363">
        <f>H130+H134+H140</f>
        <v>0</v>
      </c>
      <c r="I141" s="192"/>
    </row>
    <row r="142" spans="2:6" ht="16.5" customHeight="1">
      <c r="B142" s="243"/>
      <c r="C142" s="243"/>
      <c r="D142" s="243"/>
      <c r="E142" s="237"/>
      <c r="F142" s="192"/>
    </row>
    <row r="143" spans="2:6" ht="16.5" customHeight="1">
      <c r="B143" s="243"/>
      <c r="C143" s="243"/>
      <c r="D143" s="243"/>
      <c r="E143" s="237"/>
      <c r="F143" s="192"/>
    </row>
    <row r="144" spans="2:6" ht="16.5" customHeight="1">
      <c r="B144" s="243"/>
      <c r="C144" s="243"/>
      <c r="D144" s="243"/>
      <c r="E144" s="237"/>
      <c r="F144" s="192"/>
    </row>
    <row r="145" spans="1:11" ht="99" customHeight="1">
      <c r="A145" s="714" t="s">
        <v>601</v>
      </c>
      <c r="B145" s="714"/>
      <c r="C145" s="714"/>
      <c r="D145" s="714"/>
      <c r="E145" s="714"/>
      <c r="F145" s="714"/>
      <c r="G145" s="714"/>
      <c r="H145" s="714"/>
      <c r="I145" s="714"/>
      <c r="J145" s="714"/>
      <c r="K145" s="714"/>
    </row>
    <row r="146" spans="2:6" ht="21" customHeight="1">
      <c r="B146" s="715"/>
      <c r="C146" s="715"/>
      <c r="D146" s="715"/>
      <c r="E146" s="715"/>
      <c r="F146" s="715"/>
    </row>
    <row r="147" spans="1:11" s="245" customFormat="1" ht="27" customHeight="1">
      <c r="A147" s="704" t="s">
        <v>602</v>
      </c>
      <c r="B147" s="704"/>
      <c r="C147" s="704"/>
      <c r="D147" s="704"/>
      <c r="E147" s="704"/>
      <c r="F147" s="704"/>
      <c r="G147" s="704"/>
      <c r="H147" s="704"/>
      <c r="I147" s="704"/>
      <c r="J147" s="704"/>
      <c r="K147" s="704"/>
    </row>
    <row r="148" spans="1:11" s="245" customFormat="1" ht="16.5" customHeight="1">
      <c r="A148" s="244"/>
      <c r="B148" s="244"/>
      <c r="C148" s="244"/>
      <c r="D148" s="244"/>
      <c r="E148" s="244"/>
      <c r="F148" s="244"/>
      <c r="G148" s="244"/>
      <c r="H148" s="244"/>
      <c r="I148" s="244"/>
      <c r="J148" s="244"/>
      <c r="K148" s="244"/>
    </row>
    <row r="149" spans="2:31" ht="15.75" customHeight="1">
      <c r="B149" s="193" t="s">
        <v>603</v>
      </c>
      <c r="C149" s="193"/>
      <c r="K149" s="192"/>
      <c r="L149" s="192"/>
      <c r="M149" s="192"/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  <c r="Y149" s="192"/>
      <c r="Z149" s="192"/>
      <c r="AA149" s="192"/>
      <c r="AB149" s="192"/>
      <c r="AC149" s="192"/>
      <c r="AD149" s="192"/>
      <c r="AE149" s="192"/>
    </row>
    <row r="150" spans="2:31" ht="15.75" customHeight="1">
      <c r="B150" s="186"/>
      <c r="K150" s="192"/>
      <c r="L150" s="192"/>
      <c r="M150" s="192"/>
      <c r="N150" s="192"/>
      <c r="O150" s="192"/>
      <c r="P150" s="192"/>
      <c r="Q150" s="192"/>
      <c r="R150" s="192"/>
      <c r="S150" s="192"/>
      <c r="T150" s="192"/>
      <c r="U150" s="192"/>
      <c r="V150" s="192"/>
      <c r="W150" s="192"/>
      <c r="X150" s="192"/>
      <c r="Y150" s="192"/>
      <c r="Z150" s="192"/>
      <c r="AA150" s="192"/>
      <c r="AB150" s="192"/>
      <c r="AC150" s="192"/>
      <c r="AD150" s="192"/>
      <c r="AE150" s="192"/>
    </row>
    <row r="151" spans="2:31" ht="15.75" customHeight="1">
      <c r="B151" s="193" t="s">
        <v>542</v>
      </c>
      <c r="C151" s="193"/>
      <c r="D151" s="193" t="s">
        <v>702</v>
      </c>
      <c r="E151" s="193"/>
      <c r="K151" s="192"/>
      <c r="L151" s="192"/>
      <c r="M151" s="192"/>
      <c r="N151" s="192"/>
      <c r="O151" s="192"/>
      <c r="P151" s="192"/>
      <c r="Q151" s="192"/>
      <c r="R151" s="192"/>
      <c r="S151" s="192"/>
      <c r="T151" s="192"/>
      <c r="U151" s="192"/>
      <c r="V151" s="192"/>
      <c r="W151" s="192"/>
      <c r="X151" s="192"/>
      <c r="Y151" s="192"/>
      <c r="Z151" s="192"/>
      <c r="AA151" s="192"/>
      <c r="AB151" s="192"/>
      <c r="AC151" s="192"/>
      <c r="AD151" s="192"/>
      <c r="AE151" s="192"/>
    </row>
    <row r="152" spans="2:31" ht="15.75" customHeight="1">
      <c r="B152" s="186"/>
      <c r="K152" s="192"/>
      <c r="L152" s="192"/>
      <c r="M152" s="192"/>
      <c r="N152" s="192"/>
      <c r="O152" s="192"/>
      <c r="P152" s="192"/>
      <c r="Q152" s="192"/>
      <c r="R152" s="192"/>
      <c r="S152" s="192"/>
      <c r="T152" s="192"/>
      <c r="U152" s="192"/>
      <c r="V152" s="192"/>
      <c r="W152" s="192"/>
      <c r="X152" s="192"/>
      <c r="Y152" s="192"/>
      <c r="Z152" s="192"/>
      <c r="AA152" s="192"/>
      <c r="AB152" s="192"/>
      <c r="AC152" s="192"/>
      <c r="AD152" s="192"/>
      <c r="AE152" s="192"/>
    </row>
    <row r="153" spans="1:9" s="245" customFormat="1" ht="15.75" customHeight="1">
      <c r="A153" s="671" t="s">
        <v>545</v>
      </c>
      <c r="B153" s="716" t="s">
        <v>1</v>
      </c>
      <c r="C153" s="716"/>
      <c r="D153" s="716"/>
      <c r="E153" s="716" t="s">
        <v>605</v>
      </c>
      <c r="F153" s="716" t="s">
        <v>606</v>
      </c>
      <c r="G153" s="717" t="s">
        <v>579</v>
      </c>
      <c r="H153" s="718"/>
      <c r="I153" s="719"/>
    </row>
    <row r="154" spans="1:49" s="245" customFormat="1" ht="51" customHeight="1">
      <c r="A154" s="672"/>
      <c r="B154" s="716"/>
      <c r="C154" s="716"/>
      <c r="D154" s="716"/>
      <c r="E154" s="716"/>
      <c r="F154" s="716"/>
      <c r="G154" s="227" t="s">
        <v>607</v>
      </c>
      <c r="H154" s="225" t="s">
        <v>557</v>
      </c>
      <c r="I154" s="227" t="s">
        <v>563</v>
      </c>
      <c r="L154" s="247"/>
      <c r="M154" s="247"/>
      <c r="N154" s="247"/>
      <c r="O154" s="247"/>
      <c r="P154" s="247"/>
      <c r="Q154" s="247"/>
      <c r="R154" s="247"/>
      <c r="S154" s="247"/>
      <c r="T154" s="247"/>
      <c r="U154" s="247"/>
      <c r="V154" s="247"/>
      <c r="W154" s="247"/>
      <c r="X154" s="247"/>
      <c r="Y154" s="247"/>
      <c r="Z154" s="247"/>
      <c r="AA154" s="247"/>
      <c r="AB154" s="247"/>
      <c r="AC154" s="247"/>
      <c r="AD154" s="247"/>
      <c r="AE154" s="247"/>
      <c r="AF154" s="247"/>
      <c r="AG154" s="247"/>
      <c r="AH154" s="247"/>
      <c r="AI154" s="247"/>
      <c r="AJ154" s="247"/>
      <c r="AK154" s="247"/>
      <c r="AL154" s="247"/>
      <c r="AM154" s="247"/>
      <c r="AN154" s="247"/>
      <c r="AO154" s="247"/>
      <c r="AP154" s="247"/>
      <c r="AQ154" s="247"/>
      <c r="AR154" s="247"/>
      <c r="AS154" s="247"/>
      <c r="AT154" s="247"/>
      <c r="AU154" s="247"/>
      <c r="AV154" s="247"/>
      <c r="AW154" s="247"/>
    </row>
    <row r="155" spans="1:49" s="245" customFormat="1" ht="15.75">
      <c r="A155" s="248">
        <v>1</v>
      </c>
      <c r="B155" s="708">
        <v>2</v>
      </c>
      <c r="C155" s="708"/>
      <c r="D155" s="708"/>
      <c r="E155" s="248">
        <v>3</v>
      </c>
      <c r="F155" s="249">
        <v>4</v>
      </c>
      <c r="G155" s="250">
        <v>4</v>
      </c>
      <c r="H155" s="251">
        <v>5</v>
      </c>
      <c r="I155" s="250">
        <v>6</v>
      </c>
      <c r="L155" s="205"/>
      <c r="M155" s="205"/>
      <c r="N155" s="205"/>
      <c r="O155" s="205"/>
      <c r="P155" s="205"/>
      <c r="Q155" s="205"/>
      <c r="R155" s="205"/>
      <c r="S155" s="205"/>
      <c r="T155" s="205"/>
      <c r="U155" s="205"/>
      <c r="V155" s="205"/>
      <c r="W155" s="205"/>
      <c r="X155" s="205"/>
      <c r="Y155" s="205"/>
      <c r="Z155" s="205"/>
      <c r="AA155" s="205"/>
      <c r="AB155" s="205"/>
      <c r="AC155" s="205"/>
      <c r="AD155" s="205"/>
      <c r="AE155" s="205"/>
      <c r="AF155" s="205"/>
      <c r="AG155" s="205"/>
      <c r="AH155" s="205"/>
      <c r="AI155" s="205"/>
      <c r="AJ155" s="205"/>
      <c r="AK155" s="205"/>
      <c r="AL155" s="205"/>
      <c r="AM155" s="205"/>
      <c r="AN155" s="205"/>
      <c r="AO155" s="205"/>
      <c r="AP155" s="205"/>
      <c r="AQ155" s="205"/>
      <c r="AR155" s="205"/>
      <c r="AS155" s="205"/>
      <c r="AT155" s="205"/>
      <c r="AU155" s="205"/>
      <c r="AV155" s="205"/>
      <c r="AW155" s="205"/>
    </row>
    <row r="156" spans="1:49" s="245" customFormat="1" ht="32.25" customHeight="1">
      <c r="A156" s="252" t="s">
        <v>608</v>
      </c>
      <c r="B156" s="709" t="s">
        <v>703</v>
      </c>
      <c r="C156" s="709"/>
      <c r="D156" s="709"/>
      <c r="E156" s="253">
        <v>62.51</v>
      </c>
      <c r="F156" s="338">
        <v>7187.4897</v>
      </c>
      <c r="G156" s="339">
        <f>SUM(H156:J156)</f>
        <v>517204.981147</v>
      </c>
      <c r="H156" s="339">
        <f>E156*F156+67915</f>
        <v>517204.981147</v>
      </c>
      <c r="I156" s="339">
        <v>0</v>
      </c>
      <c r="L156" s="212"/>
      <c r="M156" s="212"/>
      <c r="N156" s="212"/>
      <c r="O156" s="212"/>
      <c r="P156" s="212"/>
      <c r="Q156" s="212"/>
      <c r="R156" s="212"/>
      <c r="S156" s="212"/>
      <c r="T156" s="212"/>
      <c r="U156" s="212"/>
      <c r="V156" s="212"/>
      <c r="W156" s="247"/>
      <c r="X156" s="247"/>
      <c r="Y156" s="247"/>
      <c r="Z156" s="247"/>
      <c r="AA156" s="247"/>
      <c r="AB156" s="247"/>
      <c r="AC156" s="247"/>
      <c r="AD156" s="247"/>
      <c r="AE156" s="247"/>
      <c r="AF156" s="247"/>
      <c r="AG156" s="247"/>
      <c r="AH156" s="247"/>
      <c r="AI156" s="247"/>
      <c r="AJ156" s="247"/>
      <c r="AK156" s="247"/>
      <c r="AL156" s="247"/>
      <c r="AM156" s="247"/>
      <c r="AN156" s="247"/>
      <c r="AO156" s="247"/>
      <c r="AP156" s="247"/>
      <c r="AQ156" s="247"/>
      <c r="AR156" s="247"/>
      <c r="AS156" s="247"/>
      <c r="AT156" s="247"/>
      <c r="AU156" s="247"/>
      <c r="AV156" s="247"/>
      <c r="AW156" s="247"/>
    </row>
    <row r="157" spans="1:49" s="245" customFormat="1" ht="30.75" customHeight="1">
      <c r="A157" s="252" t="s">
        <v>588</v>
      </c>
      <c r="B157" s="709" t="s">
        <v>704</v>
      </c>
      <c r="C157" s="709"/>
      <c r="D157" s="709"/>
      <c r="E157" s="253">
        <v>62.51</v>
      </c>
      <c r="F157" s="338">
        <v>1991.8573</v>
      </c>
      <c r="G157" s="339">
        <f aca="true" t="shared" si="0" ref="G157:G162">SUM(H157:J157)</f>
        <v>182055.91982299997</v>
      </c>
      <c r="H157" s="339">
        <f>E157*F157+57544.92</f>
        <v>182055.91982299997</v>
      </c>
      <c r="I157" s="339">
        <v>0</v>
      </c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47"/>
      <c r="X157" s="247"/>
      <c r="Y157" s="247"/>
      <c r="Z157" s="247"/>
      <c r="AA157" s="247"/>
      <c r="AB157" s="247"/>
      <c r="AC157" s="247"/>
      <c r="AD157" s="247"/>
      <c r="AE157" s="247"/>
      <c r="AF157" s="247"/>
      <c r="AG157" s="247"/>
      <c r="AH157" s="247"/>
      <c r="AI157" s="247"/>
      <c r="AJ157" s="247"/>
      <c r="AK157" s="247"/>
      <c r="AL157" s="247"/>
      <c r="AM157" s="247"/>
      <c r="AN157" s="247"/>
      <c r="AO157" s="247"/>
      <c r="AP157" s="247"/>
      <c r="AQ157" s="247"/>
      <c r="AR157" s="247"/>
      <c r="AS157" s="247"/>
      <c r="AT157" s="247"/>
      <c r="AU157" s="247"/>
      <c r="AV157" s="247"/>
      <c r="AW157" s="247"/>
    </row>
    <row r="158" spans="1:49" s="245" customFormat="1" ht="35.25" customHeight="1">
      <c r="A158" s="252" t="s">
        <v>599</v>
      </c>
      <c r="B158" s="709" t="s">
        <v>705</v>
      </c>
      <c r="C158" s="709"/>
      <c r="D158" s="709"/>
      <c r="E158" s="253">
        <v>2759</v>
      </c>
      <c r="F158" s="338">
        <v>3</v>
      </c>
      <c r="G158" s="339">
        <f t="shared" si="0"/>
        <v>16501</v>
      </c>
      <c r="H158" s="339">
        <f>E158*F158+340+7884</f>
        <v>16501</v>
      </c>
      <c r="I158" s="339">
        <v>0</v>
      </c>
      <c r="L158" s="212"/>
      <c r="M158" s="212"/>
      <c r="N158" s="212"/>
      <c r="O158" s="212"/>
      <c r="P158" s="212"/>
      <c r="Q158" s="212"/>
      <c r="R158" s="212"/>
      <c r="S158" s="212"/>
      <c r="T158" s="212"/>
      <c r="U158" s="212"/>
      <c r="V158" s="212"/>
      <c r="W158" s="247"/>
      <c r="X158" s="247"/>
      <c r="Y158" s="247"/>
      <c r="Z158" s="247"/>
      <c r="AA158" s="247"/>
      <c r="AB158" s="247"/>
      <c r="AC158" s="247"/>
      <c r="AD158" s="247"/>
      <c r="AE158" s="247"/>
      <c r="AF158" s="247"/>
      <c r="AG158" s="247"/>
      <c r="AH158" s="247"/>
      <c r="AI158" s="247"/>
      <c r="AJ158" s="247"/>
      <c r="AK158" s="247"/>
      <c r="AL158" s="247"/>
      <c r="AM158" s="247"/>
      <c r="AN158" s="247"/>
      <c r="AO158" s="247"/>
      <c r="AP158" s="247"/>
      <c r="AQ158" s="247"/>
      <c r="AR158" s="247"/>
      <c r="AS158" s="247"/>
      <c r="AT158" s="247"/>
      <c r="AU158" s="247"/>
      <c r="AV158" s="247"/>
      <c r="AW158" s="247"/>
    </row>
    <row r="159" spans="1:49" s="245" customFormat="1" ht="31.5" customHeight="1">
      <c r="A159" s="252" t="s">
        <v>706</v>
      </c>
      <c r="B159" s="709" t="s">
        <v>707</v>
      </c>
      <c r="C159" s="709"/>
      <c r="D159" s="709"/>
      <c r="E159" s="253">
        <v>2735</v>
      </c>
      <c r="F159" s="340">
        <v>8</v>
      </c>
      <c r="G159" s="339">
        <f t="shared" si="0"/>
        <v>27858</v>
      </c>
      <c r="H159" s="339">
        <f>E159*F159+5978</f>
        <v>27858</v>
      </c>
      <c r="I159" s="339">
        <v>0</v>
      </c>
      <c r="L159" s="212"/>
      <c r="M159" s="212"/>
      <c r="N159" s="212"/>
      <c r="O159" s="212"/>
      <c r="P159" s="212"/>
      <c r="Q159" s="212"/>
      <c r="R159" s="212"/>
      <c r="S159" s="212"/>
      <c r="T159" s="212"/>
      <c r="U159" s="212"/>
      <c r="V159" s="212"/>
      <c r="W159" s="247"/>
      <c r="X159" s="247"/>
      <c r="Y159" s="247"/>
      <c r="Z159" s="247"/>
      <c r="AA159" s="247"/>
      <c r="AB159" s="247"/>
      <c r="AC159" s="247"/>
      <c r="AD159" s="247"/>
      <c r="AE159" s="247"/>
      <c r="AF159" s="247"/>
      <c r="AG159" s="247"/>
      <c r="AH159" s="247"/>
      <c r="AI159" s="247"/>
      <c r="AJ159" s="247"/>
      <c r="AK159" s="247"/>
      <c r="AL159" s="247"/>
      <c r="AM159" s="247"/>
      <c r="AN159" s="247"/>
      <c r="AO159" s="247"/>
      <c r="AP159" s="247"/>
      <c r="AQ159" s="247"/>
      <c r="AR159" s="247"/>
      <c r="AS159" s="247"/>
      <c r="AT159" s="247"/>
      <c r="AU159" s="247"/>
      <c r="AV159" s="247"/>
      <c r="AW159" s="247"/>
    </row>
    <row r="160" spans="1:49" s="245" customFormat="1" ht="36.75" customHeight="1">
      <c r="A160" s="252" t="s">
        <v>708</v>
      </c>
      <c r="B160" s="709" t="s">
        <v>241</v>
      </c>
      <c r="C160" s="709"/>
      <c r="D160" s="709"/>
      <c r="E160" s="253">
        <v>62.51</v>
      </c>
      <c r="F160" s="338">
        <v>14026.1878</v>
      </c>
      <c r="G160" s="339">
        <f t="shared" si="0"/>
        <v>982309.9993779999</v>
      </c>
      <c r="H160" s="339">
        <v>0</v>
      </c>
      <c r="I160" s="339">
        <f>E160*F160+82808.25+22724.75</f>
        <v>982309.9993779999</v>
      </c>
      <c r="L160" s="212"/>
      <c r="M160" s="212"/>
      <c r="N160" s="212"/>
      <c r="O160" s="212"/>
      <c r="P160" s="212"/>
      <c r="Q160" s="212"/>
      <c r="R160" s="212"/>
      <c r="S160" s="212"/>
      <c r="T160" s="212"/>
      <c r="U160" s="212"/>
      <c r="V160" s="212"/>
      <c r="W160" s="247"/>
      <c r="X160" s="247"/>
      <c r="Y160" s="247"/>
      <c r="Z160" s="247"/>
      <c r="AA160" s="247"/>
      <c r="AB160" s="247"/>
      <c r="AC160" s="247"/>
      <c r="AD160" s="247"/>
      <c r="AE160" s="247"/>
      <c r="AF160" s="247"/>
      <c r="AG160" s="247"/>
      <c r="AH160" s="247"/>
      <c r="AI160" s="247"/>
      <c r="AJ160" s="247"/>
      <c r="AK160" s="247"/>
      <c r="AL160" s="247"/>
      <c r="AM160" s="247"/>
      <c r="AN160" s="247"/>
      <c r="AO160" s="247"/>
      <c r="AP160" s="247"/>
      <c r="AQ160" s="247"/>
      <c r="AR160" s="247"/>
      <c r="AS160" s="247"/>
      <c r="AT160" s="247"/>
      <c r="AU160" s="247"/>
      <c r="AV160" s="247"/>
      <c r="AW160" s="247"/>
    </row>
    <row r="161" spans="1:49" s="245" customFormat="1" ht="36.75" customHeight="1">
      <c r="A161" s="252" t="s">
        <v>709</v>
      </c>
      <c r="B161" s="709" t="s">
        <v>269</v>
      </c>
      <c r="C161" s="709"/>
      <c r="D161" s="709"/>
      <c r="E161" s="253">
        <v>106.86</v>
      </c>
      <c r="F161" s="340">
        <v>0</v>
      </c>
      <c r="G161" s="339">
        <f t="shared" si="0"/>
        <v>0</v>
      </c>
      <c r="H161" s="339">
        <v>0</v>
      </c>
      <c r="I161" s="339">
        <v>0</v>
      </c>
      <c r="L161" s="212"/>
      <c r="M161" s="212"/>
      <c r="N161" s="212"/>
      <c r="O161" s="212"/>
      <c r="P161" s="212"/>
      <c r="Q161" s="212"/>
      <c r="R161" s="212"/>
      <c r="S161" s="212"/>
      <c r="T161" s="212"/>
      <c r="U161" s="212"/>
      <c r="V161" s="212"/>
      <c r="W161" s="247"/>
      <c r="X161" s="247"/>
      <c r="Y161" s="247"/>
      <c r="Z161" s="247"/>
      <c r="AA161" s="247"/>
      <c r="AB161" s="247"/>
      <c r="AC161" s="247"/>
      <c r="AD161" s="247"/>
      <c r="AE161" s="247"/>
      <c r="AF161" s="247"/>
      <c r="AG161" s="247"/>
      <c r="AH161" s="247"/>
      <c r="AI161" s="247"/>
      <c r="AJ161" s="247"/>
      <c r="AK161" s="247"/>
      <c r="AL161" s="247"/>
      <c r="AM161" s="247"/>
      <c r="AN161" s="247"/>
      <c r="AO161" s="247"/>
      <c r="AP161" s="247"/>
      <c r="AQ161" s="247"/>
      <c r="AR161" s="247"/>
      <c r="AS161" s="247"/>
      <c r="AT161" s="247"/>
      <c r="AU161" s="247"/>
      <c r="AV161" s="247"/>
      <c r="AW161" s="247"/>
    </row>
    <row r="162" spans="1:49" s="245" customFormat="1" ht="36.75" customHeight="1">
      <c r="A162" s="252" t="s">
        <v>710</v>
      </c>
      <c r="B162" s="735"/>
      <c r="C162" s="736"/>
      <c r="D162" s="755"/>
      <c r="E162" s="253"/>
      <c r="F162" s="338">
        <v>0</v>
      </c>
      <c r="G162" s="339">
        <f t="shared" si="0"/>
        <v>0</v>
      </c>
      <c r="H162" s="339">
        <v>0</v>
      </c>
      <c r="I162" s="339">
        <v>0</v>
      </c>
      <c r="L162" s="212"/>
      <c r="M162" s="212"/>
      <c r="N162" s="212"/>
      <c r="O162" s="212"/>
      <c r="P162" s="212"/>
      <c r="Q162" s="212"/>
      <c r="R162" s="212"/>
      <c r="S162" s="212"/>
      <c r="T162" s="212"/>
      <c r="U162" s="212"/>
      <c r="V162" s="212"/>
      <c r="W162" s="247"/>
      <c r="X162" s="247"/>
      <c r="Y162" s="247"/>
      <c r="Z162" s="247"/>
      <c r="AA162" s="247"/>
      <c r="AB162" s="247"/>
      <c r="AC162" s="247"/>
      <c r="AD162" s="247"/>
      <c r="AE162" s="247"/>
      <c r="AF162" s="247"/>
      <c r="AG162" s="247"/>
      <c r="AH162" s="247"/>
      <c r="AI162" s="247"/>
      <c r="AJ162" s="247"/>
      <c r="AK162" s="247"/>
      <c r="AL162" s="247"/>
      <c r="AM162" s="247"/>
      <c r="AN162" s="247"/>
      <c r="AO162" s="247"/>
      <c r="AP162" s="247"/>
      <c r="AQ162" s="247"/>
      <c r="AR162" s="247"/>
      <c r="AS162" s="247"/>
      <c r="AT162" s="247"/>
      <c r="AU162" s="247"/>
      <c r="AV162" s="247"/>
      <c r="AW162" s="247"/>
    </row>
    <row r="163" spans="1:49" s="245" customFormat="1" ht="36.75" customHeight="1">
      <c r="A163" s="252" t="s">
        <v>711</v>
      </c>
      <c r="B163" s="735"/>
      <c r="C163" s="736"/>
      <c r="D163" s="755"/>
      <c r="E163" s="253"/>
      <c r="F163" s="254"/>
      <c r="G163" s="232"/>
      <c r="H163" s="233"/>
      <c r="I163" s="232"/>
      <c r="L163" s="212"/>
      <c r="M163" s="212"/>
      <c r="N163" s="212"/>
      <c r="O163" s="212"/>
      <c r="P163" s="212"/>
      <c r="Q163" s="212"/>
      <c r="R163" s="212"/>
      <c r="S163" s="212"/>
      <c r="T163" s="212"/>
      <c r="U163" s="212"/>
      <c r="V163" s="212"/>
      <c r="W163" s="247"/>
      <c r="X163" s="247"/>
      <c r="Y163" s="247"/>
      <c r="Z163" s="247"/>
      <c r="AA163" s="247"/>
      <c r="AB163" s="247"/>
      <c r="AC163" s="247"/>
      <c r="AD163" s="247"/>
      <c r="AE163" s="247"/>
      <c r="AF163" s="247"/>
      <c r="AG163" s="247"/>
      <c r="AH163" s="247"/>
      <c r="AI163" s="247"/>
      <c r="AJ163" s="247"/>
      <c r="AK163" s="247"/>
      <c r="AL163" s="247"/>
      <c r="AM163" s="247"/>
      <c r="AN163" s="247"/>
      <c r="AO163" s="247"/>
      <c r="AP163" s="247"/>
      <c r="AQ163" s="247"/>
      <c r="AR163" s="247"/>
      <c r="AS163" s="247"/>
      <c r="AT163" s="247"/>
      <c r="AU163" s="247"/>
      <c r="AV163" s="247"/>
      <c r="AW163" s="247"/>
    </row>
    <row r="164" spans="1:49" s="245" customFormat="1" ht="36.75" customHeight="1">
      <c r="A164" s="252" t="s">
        <v>712</v>
      </c>
      <c r="B164" s="735"/>
      <c r="C164" s="736"/>
      <c r="D164" s="755"/>
      <c r="E164" s="253"/>
      <c r="F164" s="254"/>
      <c r="G164" s="232"/>
      <c r="H164" s="233"/>
      <c r="I164" s="232"/>
      <c r="L164" s="212"/>
      <c r="M164" s="212"/>
      <c r="N164" s="212"/>
      <c r="O164" s="212"/>
      <c r="P164" s="212"/>
      <c r="Q164" s="212"/>
      <c r="R164" s="212"/>
      <c r="S164" s="212"/>
      <c r="T164" s="212"/>
      <c r="U164" s="212"/>
      <c r="V164" s="212"/>
      <c r="W164" s="247"/>
      <c r="X164" s="247"/>
      <c r="Y164" s="247"/>
      <c r="Z164" s="247"/>
      <c r="AA164" s="247"/>
      <c r="AB164" s="247"/>
      <c r="AC164" s="247"/>
      <c r="AD164" s="247"/>
      <c r="AE164" s="247"/>
      <c r="AF164" s="247"/>
      <c r="AG164" s="247"/>
      <c r="AH164" s="247"/>
      <c r="AI164" s="247"/>
      <c r="AJ164" s="247"/>
      <c r="AK164" s="247"/>
      <c r="AL164" s="247"/>
      <c r="AM164" s="247"/>
      <c r="AN164" s="247"/>
      <c r="AO164" s="247"/>
      <c r="AP164" s="247"/>
      <c r="AQ164" s="247"/>
      <c r="AR164" s="247"/>
      <c r="AS164" s="247"/>
      <c r="AT164" s="247"/>
      <c r="AU164" s="247"/>
      <c r="AV164" s="247"/>
      <c r="AW164" s="247"/>
    </row>
    <row r="165" spans="1:49" s="343" customFormat="1" ht="15.75">
      <c r="A165" s="756" t="s">
        <v>561</v>
      </c>
      <c r="B165" s="757"/>
      <c r="C165" s="757"/>
      <c r="D165" s="758"/>
      <c r="E165" s="218" t="s">
        <v>562</v>
      </c>
      <c r="F165" s="341" t="s">
        <v>562</v>
      </c>
      <c r="G165" s="219"/>
      <c r="H165" s="342">
        <f>SUM(H156:H164)</f>
        <v>743619.90097</v>
      </c>
      <c r="I165" s="290">
        <f>SUM(I156:I164)</f>
        <v>982309.9993779999</v>
      </c>
      <c r="L165" s="344"/>
      <c r="M165" s="344"/>
      <c r="N165" s="344"/>
      <c r="O165" s="344"/>
      <c r="P165" s="344"/>
      <c r="Q165" s="344"/>
      <c r="R165" s="344"/>
      <c r="S165" s="344"/>
      <c r="T165" s="344"/>
      <c r="U165" s="344"/>
      <c r="V165" s="344"/>
      <c r="W165" s="345"/>
      <c r="X165" s="345"/>
      <c r="Y165" s="345"/>
      <c r="Z165" s="345"/>
      <c r="AA165" s="345"/>
      <c r="AB165" s="345"/>
      <c r="AC165" s="345"/>
      <c r="AD165" s="345"/>
      <c r="AE165" s="345"/>
      <c r="AF165" s="345"/>
      <c r="AG165" s="345"/>
      <c r="AH165" s="345"/>
      <c r="AI165" s="345"/>
      <c r="AJ165" s="345"/>
      <c r="AK165" s="345"/>
      <c r="AL165" s="345"/>
      <c r="AM165" s="345"/>
      <c r="AN165" s="345"/>
      <c r="AO165" s="345"/>
      <c r="AP165" s="345"/>
      <c r="AQ165" s="345"/>
      <c r="AR165" s="345"/>
      <c r="AS165" s="345"/>
      <c r="AT165" s="345"/>
      <c r="AU165" s="345"/>
      <c r="AV165" s="345"/>
      <c r="AW165" s="345"/>
    </row>
    <row r="166" spans="6:49" s="245" customFormat="1" ht="15.75">
      <c r="F166" s="257"/>
      <c r="G166" s="257"/>
      <c r="H166" s="257"/>
      <c r="I166" s="257"/>
      <c r="J166" s="257"/>
      <c r="K166" s="257"/>
      <c r="L166" s="257"/>
      <c r="M166" s="257"/>
      <c r="N166" s="257"/>
      <c r="O166" s="257"/>
      <c r="P166" s="257"/>
      <c r="Q166" s="257"/>
      <c r="R166" s="257"/>
      <c r="S166" s="257"/>
      <c r="T166" s="257"/>
      <c r="U166" s="257"/>
      <c r="V166" s="257"/>
      <c r="W166" s="257"/>
      <c r="X166" s="257"/>
      <c r="Y166" s="257"/>
      <c r="Z166" s="257"/>
      <c r="AA166" s="257"/>
      <c r="AB166" s="257"/>
      <c r="AC166" s="257"/>
      <c r="AD166" s="257"/>
      <c r="AE166" s="257"/>
      <c r="AF166" s="257"/>
      <c r="AG166" s="257"/>
      <c r="AH166" s="257"/>
      <c r="AI166" s="257"/>
      <c r="AJ166" s="257"/>
      <c r="AK166" s="257"/>
      <c r="AL166" s="257"/>
      <c r="AM166" s="257"/>
      <c r="AN166" s="257"/>
      <c r="AO166" s="257"/>
      <c r="AP166" s="257"/>
      <c r="AQ166" s="257"/>
      <c r="AR166" s="257"/>
      <c r="AS166" s="257"/>
      <c r="AT166" s="257"/>
      <c r="AU166" s="257"/>
      <c r="AV166" s="257"/>
      <c r="AW166" s="257"/>
    </row>
    <row r="167" spans="1:11" s="245" customFormat="1" ht="15.75" hidden="1">
      <c r="A167" s="704" t="s">
        <v>916</v>
      </c>
      <c r="B167" s="704"/>
      <c r="C167" s="704"/>
      <c r="D167" s="704"/>
      <c r="E167" s="704"/>
      <c r="F167" s="704"/>
      <c r="G167" s="704"/>
      <c r="H167" s="704"/>
      <c r="I167" s="704"/>
      <c r="J167" s="704"/>
      <c r="K167" s="704"/>
    </row>
    <row r="168" spans="1:11" s="245" customFormat="1" ht="15.75" hidden="1">
      <c r="A168" s="244"/>
      <c r="B168" s="244"/>
      <c r="C168" s="244"/>
      <c r="D168" s="244"/>
      <c r="E168" s="244"/>
      <c r="F168" s="244"/>
      <c r="G168" s="244"/>
      <c r="H168" s="244"/>
      <c r="I168" s="244"/>
      <c r="J168" s="244"/>
      <c r="K168" s="244"/>
    </row>
    <row r="169" spans="2:31" ht="15.75" hidden="1">
      <c r="B169" s="193" t="s">
        <v>603</v>
      </c>
      <c r="C169" s="193"/>
      <c r="K169" s="192"/>
      <c r="L169" s="192"/>
      <c r="M169" s="192"/>
      <c r="N169" s="192"/>
      <c r="O169" s="192"/>
      <c r="P169" s="192"/>
      <c r="Q169" s="192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</row>
    <row r="170" spans="2:31" ht="15.75" hidden="1">
      <c r="B170" s="186"/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</row>
    <row r="171" spans="2:31" ht="15.75" hidden="1">
      <c r="B171" s="193" t="s">
        <v>542</v>
      </c>
      <c r="C171" s="193"/>
      <c r="D171" s="193" t="s">
        <v>702</v>
      </c>
      <c r="E171" s="193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</row>
    <row r="172" spans="2:31" ht="15.75" hidden="1">
      <c r="B172" s="186"/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</row>
    <row r="173" spans="1:9" s="245" customFormat="1" ht="15.75" hidden="1">
      <c r="A173" s="671" t="s">
        <v>545</v>
      </c>
      <c r="B173" s="716" t="s">
        <v>1</v>
      </c>
      <c r="C173" s="716"/>
      <c r="D173" s="716"/>
      <c r="E173" s="716" t="s">
        <v>605</v>
      </c>
      <c r="F173" s="716" t="s">
        <v>606</v>
      </c>
      <c r="G173" s="717" t="s">
        <v>579</v>
      </c>
      <c r="H173" s="718"/>
      <c r="I173" s="719"/>
    </row>
    <row r="174" spans="1:49" s="245" customFormat="1" ht="47.25" hidden="1">
      <c r="A174" s="672"/>
      <c r="B174" s="716"/>
      <c r="C174" s="716"/>
      <c r="D174" s="716"/>
      <c r="E174" s="716"/>
      <c r="F174" s="716"/>
      <c r="G174" s="227" t="s">
        <v>607</v>
      </c>
      <c r="H174" s="225" t="s">
        <v>557</v>
      </c>
      <c r="I174" s="227" t="s">
        <v>563</v>
      </c>
      <c r="L174" s="247"/>
      <c r="M174" s="247"/>
      <c r="N174" s="247"/>
      <c r="O174" s="247"/>
      <c r="P174" s="247"/>
      <c r="Q174" s="247"/>
      <c r="R174" s="247"/>
      <c r="S174" s="247"/>
      <c r="T174" s="247"/>
      <c r="U174" s="247"/>
      <c r="V174" s="247"/>
      <c r="W174" s="247"/>
      <c r="X174" s="247"/>
      <c r="Y174" s="247"/>
      <c r="Z174" s="247"/>
      <c r="AA174" s="247"/>
      <c r="AB174" s="247"/>
      <c r="AC174" s="247"/>
      <c r="AD174" s="247"/>
      <c r="AE174" s="247"/>
      <c r="AF174" s="247"/>
      <c r="AG174" s="247"/>
      <c r="AH174" s="247"/>
      <c r="AI174" s="247"/>
      <c r="AJ174" s="247"/>
      <c r="AK174" s="247"/>
      <c r="AL174" s="247"/>
      <c r="AM174" s="247"/>
      <c r="AN174" s="247"/>
      <c r="AO174" s="247"/>
      <c r="AP174" s="247"/>
      <c r="AQ174" s="247"/>
      <c r="AR174" s="247"/>
      <c r="AS174" s="247"/>
      <c r="AT174" s="247"/>
      <c r="AU174" s="247"/>
      <c r="AV174" s="247"/>
      <c r="AW174" s="247"/>
    </row>
    <row r="175" spans="1:49" s="245" customFormat="1" ht="15.75" hidden="1">
      <c r="A175" s="248">
        <v>1</v>
      </c>
      <c r="B175" s="708">
        <v>2</v>
      </c>
      <c r="C175" s="708"/>
      <c r="D175" s="708"/>
      <c r="E175" s="248">
        <v>3</v>
      </c>
      <c r="F175" s="249">
        <v>4</v>
      </c>
      <c r="G175" s="250">
        <v>4</v>
      </c>
      <c r="H175" s="251">
        <v>5</v>
      </c>
      <c r="I175" s="250">
        <v>6</v>
      </c>
      <c r="L175" s="205"/>
      <c r="M175" s="205"/>
      <c r="N175" s="205"/>
      <c r="O175" s="205"/>
      <c r="P175" s="205"/>
      <c r="Q175" s="205"/>
      <c r="R175" s="205"/>
      <c r="S175" s="205"/>
      <c r="T175" s="205"/>
      <c r="U175" s="205"/>
      <c r="V175" s="205"/>
      <c r="W175" s="205"/>
      <c r="X175" s="205"/>
      <c r="Y175" s="205"/>
      <c r="Z175" s="205"/>
      <c r="AA175" s="205"/>
      <c r="AB175" s="205"/>
      <c r="AC175" s="205"/>
      <c r="AD175" s="205"/>
      <c r="AE175" s="205"/>
      <c r="AF175" s="205"/>
      <c r="AG175" s="205"/>
      <c r="AH175" s="205"/>
      <c r="AI175" s="205"/>
      <c r="AJ175" s="205"/>
      <c r="AK175" s="205"/>
      <c r="AL175" s="205"/>
      <c r="AM175" s="205"/>
      <c r="AN175" s="205"/>
      <c r="AO175" s="205"/>
      <c r="AP175" s="205"/>
      <c r="AQ175" s="205"/>
      <c r="AR175" s="205"/>
      <c r="AS175" s="205"/>
      <c r="AT175" s="205"/>
      <c r="AU175" s="205"/>
      <c r="AV175" s="205"/>
      <c r="AW175" s="205"/>
    </row>
    <row r="176" spans="1:49" s="245" customFormat="1" ht="36" customHeight="1" hidden="1">
      <c r="A176" s="252" t="s">
        <v>608</v>
      </c>
      <c r="B176" s="709" t="s">
        <v>703</v>
      </c>
      <c r="C176" s="709"/>
      <c r="D176" s="709"/>
      <c r="E176" s="253">
        <v>62.51</v>
      </c>
      <c r="F176" s="266">
        <v>9</v>
      </c>
      <c r="G176" s="232">
        <f>SUM(H176:I176)</f>
        <v>0</v>
      </c>
      <c r="H176" s="233"/>
      <c r="I176" s="232"/>
      <c r="L176" s="212"/>
      <c r="M176" s="212"/>
      <c r="N176" s="212"/>
      <c r="O176" s="212"/>
      <c r="P176" s="212"/>
      <c r="Q176" s="212"/>
      <c r="R176" s="212"/>
      <c r="S176" s="212"/>
      <c r="T176" s="212"/>
      <c r="U176" s="212"/>
      <c r="V176" s="212"/>
      <c r="W176" s="247"/>
      <c r="X176" s="247"/>
      <c r="Y176" s="247"/>
      <c r="Z176" s="247"/>
      <c r="AA176" s="247"/>
      <c r="AB176" s="247"/>
      <c r="AC176" s="247"/>
      <c r="AD176" s="247"/>
      <c r="AE176" s="247"/>
      <c r="AF176" s="247"/>
      <c r="AG176" s="247"/>
      <c r="AH176" s="247"/>
      <c r="AI176" s="247"/>
      <c r="AJ176" s="247"/>
      <c r="AK176" s="247"/>
      <c r="AL176" s="247"/>
      <c r="AM176" s="247"/>
      <c r="AN176" s="247"/>
      <c r="AO176" s="247"/>
      <c r="AP176" s="247"/>
      <c r="AQ176" s="247"/>
      <c r="AR176" s="247"/>
      <c r="AS176" s="247"/>
      <c r="AT176" s="247"/>
      <c r="AU176" s="247"/>
      <c r="AV176" s="247"/>
      <c r="AW176" s="247"/>
    </row>
    <row r="177" spans="1:49" s="245" customFormat="1" ht="29.25" customHeight="1" hidden="1">
      <c r="A177" s="252" t="s">
        <v>588</v>
      </c>
      <c r="B177" s="709" t="s">
        <v>704</v>
      </c>
      <c r="C177" s="709"/>
      <c r="D177" s="709"/>
      <c r="E177" s="253">
        <v>62.51</v>
      </c>
      <c r="F177" s="266">
        <v>9</v>
      </c>
      <c r="G177" s="232">
        <f aca="true" t="shared" si="1" ref="G177:G183">SUM(H177:I177)</f>
        <v>0</v>
      </c>
      <c r="H177" s="233"/>
      <c r="I177" s="23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</row>
    <row r="178" spans="1:49" s="245" customFormat="1" ht="28.5" customHeight="1" hidden="1">
      <c r="A178" s="252" t="s">
        <v>599</v>
      </c>
      <c r="B178" s="709" t="s">
        <v>705</v>
      </c>
      <c r="C178" s="709"/>
      <c r="D178" s="709"/>
      <c r="E178" s="253">
        <v>2628</v>
      </c>
      <c r="F178" s="266">
        <v>3</v>
      </c>
      <c r="G178" s="232">
        <f t="shared" si="1"/>
        <v>0</v>
      </c>
      <c r="H178" s="233"/>
      <c r="I178" s="23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</row>
    <row r="179" spans="1:49" s="245" customFormat="1" ht="28.5" customHeight="1" hidden="1">
      <c r="A179" s="252" t="s">
        <v>706</v>
      </c>
      <c r="B179" s="709" t="s">
        <v>707</v>
      </c>
      <c r="C179" s="709"/>
      <c r="D179" s="709"/>
      <c r="E179" s="253">
        <v>2605</v>
      </c>
      <c r="F179" s="266">
        <v>2</v>
      </c>
      <c r="G179" s="232">
        <f t="shared" si="1"/>
        <v>0</v>
      </c>
      <c r="H179" s="233"/>
      <c r="I179" s="23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47"/>
      <c r="X179" s="247"/>
      <c r="Y179" s="247"/>
      <c r="Z179" s="247"/>
      <c r="AA179" s="247"/>
      <c r="AB179" s="247"/>
      <c r="AC179" s="247"/>
      <c r="AD179" s="247"/>
      <c r="AE179" s="247"/>
      <c r="AF179" s="247"/>
      <c r="AG179" s="247"/>
      <c r="AH179" s="247"/>
      <c r="AI179" s="247"/>
      <c r="AJ179" s="247"/>
      <c r="AK179" s="247"/>
      <c r="AL179" s="247"/>
      <c r="AM179" s="247"/>
      <c r="AN179" s="247"/>
      <c r="AO179" s="247"/>
      <c r="AP179" s="247"/>
      <c r="AQ179" s="247"/>
      <c r="AR179" s="247"/>
      <c r="AS179" s="247"/>
      <c r="AT179" s="247"/>
      <c r="AU179" s="247"/>
      <c r="AV179" s="247"/>
      <c r="AW179" s="247"/>
    </row>
    <row r="180" spans="1:49" s="245" customFormat="1" ht="29.25" customHeight="1" hidden="1">
      <c r="A180" s="252" t="s">
        <v>708</v>
      </c>
      <c r="B180" s="709" t="s">
        <v>241</v>
      </c>
      <c r="C180" s="709"/>
      <c r="D180" s="709"/>
      <c r="E180" s="253">
        <v>62.51</v>
      </c>
      <c r="F180" s="266">
        <v>9</v>
      </c>
      <c r="G180" s="232">
        <f t="shared" si="1"/>
        <v>0</v>
      </c>
      <c r="H180" s="233"/>
      <c r="I180" s="23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47"/>
      <c r="X180" s="247"/>
      <c r="Y180" s="247"/>
      <c r="Z180" s="247"/>
      <c r="AA180" s="247"/>
      <c r="AB180" s="247"/>
      <c r="AC180" s="247"/>
      <c r="AD180" s="247"/>
      <c r="AE180" s="247"/>
      <c r="AF180" s="247"/>
      <c r="AG180" s="247"/>
      <c r="AH180" s="247"/>
      <c r="AI180" s="247"/>
      <c r="AJ180" s="247"/>
      <c r="AK180" s="247"/>
      <c r="AL180" s="247"/>
      <c r="AM180" s="247"/>
      <c r="AN180" s="247"/>
      <c r="AO180" s="247"/>
      <c r="AP180" s="247"/>
      <c r="AQ180" s="247"/>
      <c r="AR180" s="247"/>
      <c r="AS180" s="247"/>
      <c r="AT180" s="247"/>
      <c r="AU180" s="247"/>
      <c r="AV180" s="247"/>
      <c r="AW180" s="247"/>
    </row>
    <row r="181" spans="1:49" s="245" customFormat="1" ht="27" customHeight="1" hidden="1">
      <c r="A181" s="252" t="s">
        <v>709</v>
      </c>
      <c r="B181" s="709" t="s">
        <v>917</v>
      </c>
      <c r="C181" s="709"/>
      <c r="D181" s="709"/>
      <c r="E181" s="253">
        <v>62.51</v>
      </c>
      <c r="F181" s="266"/>
      <c r="G181" s="232">
        <f t="shared" si="1"/>
        <v>0</v>
      </c>
      <c r="H181" s="233"/>
      <c r="I181" s="232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47"/>
      <c r="X181" s="247"/>
      <c r="Y181" s="247"/>
      <c r="Z181" s="247"/>
      <c r="AA181" s="247"/>
      <c r="AB181" s="247"/>
      <c r="AC181" s="247"/>
      <c r="AD181" s="247"/>
      <c r="AE181" s="247"/>
      <c r="AF181" s="247"/>
      <c r="AG181" s="247"/>
      <c r="AH181" s="247"/>
      <c r="AI181" s="247"/>
      <c r="AJ181" s="247"/>
      <c r="AK181" s="247"/>
      <c r="AL181" s="247"/>
      <c r="AM181" s="247"/>
      <c r="AN181" s="247"/>
      <c r="AO181" s="247"/>
      <c r="AP181" s="247"/>
      <c r="AQ181" s="247"/>
      <c r="AR181" s="247"/>
      <c r="AS181" s="247"/>
      <c r="AT181" s="247"/>
      <c r="AU181" s="247"/>
      <c r="AV181" s="247"/>
      <c r="AW181" s="247"/>
    </row>
    <row r="182" spans="1:49" s="245" customFormat="1" ht="28.5" customHeight="1" hidden="1">
      <c r="A182" s="252" t="s">
        <v>710</v>
      </c>
      <c r="B182" s="751" t="s">
        <v>918</v>
      </c>
      <c r="C182" s="752"/>
      <c r="D182" s="753"/>
      <c r="E182" s="253"/>
      <c r="F182" s="266"/>
      <c r="G182" s="232">
        <f t="shared" si="1"/>
        <v>0</v>
      </c>
      <c r="H182" s="233"/>
      <c r="I182" s="232"/>
      <c r="L182" s="212"/>
      <c r="M182" s="212"/>
      <c r="N182" s="212"/>
      <c r="O182" s="212"/>
      <c r="P182" s="212"/>
      <c r="Q182" s="212"/>
      <c r="R182" s="212"/>
      <c r="S182" s="212"/>
      <c r="T182" s="212"/>
      <c r="U182" s="212"/>
      <c r="V182" s="212"/>
      <c r="W182" s="247"/>
      <c r="X182" s="247"/>
      <c r="Y182" s="247"/>
      <c r="Z182" s="247"/>
      <c r="AA182" s="247"/>
      <c r="AB182" s="247"/>
      <c r="AC182" s="247"/>
      <c r="AD182" s="247"/>
      <c r="AE182" s="247"/>
      <c r="AF182" s="247"/>
      <c r="AG182" s="247"/>
      <c r="AH182" s="247"/>
      <c r="AI182" s="247"/>
      <c r="AJ182" s="247"/>
      <c r="AK182" s="247"/>
      <c r="AL182" s="247"/>
      <c r="AM182" s="247"/>
      <c r="AN182" s="247"/>
      <c r="AO182" s="247"/>
      <c r="AP182" s="247"/>
      <c r="AQ182" s="247"/>
      <c r="AR182" s="247"/>
      <c r="AS182" s="247"/>
      <c r="AT182" s="247"/>
      <c r="AU182" s="247"/>
      <c r="AV182" s="247"/>
      <c r="AW182" s="247"/>
    </row>
    <row r="183" spans="1:49" s="245" customFormat="1" ht="28.5" customHeight="1" hidden="1">
      <c r="A183" s="252" t="s">
        <v>711</v>
      </c>
      <c r="B183" s="709" t="s">
        <v>269</v>
      </c>
      <c r="C183" s="709"/>
      <c r="D183" s="709"/>
      <c r="E183" s="253">
        <v>106.86</v>
      </c>
      <c r="F183" s="254"/>
      <c r="G183" s="232">
        <f t="shared" si="1"/>
        <v>0</v>
      </c>
      <c r="H183" s="233">
        <v>0</v>
      </c>
      <c r="I183" s="232">
        <v>0</v>
      </c>
      <c r="L183" s="212"/>
      <c r="M183" s="212"/>
      <c r="N183" s="212"/>
      <c r="O183" s="212"/>
      <c r="P183" s="212"/>
      <c r="Q183" s="212"/>
      <c r="R183" s="212"/>
      <c r="S183" s="212"/>
      <c r="T183" s="212"/>
      <c r="U183" s="212"/>
      <c r="V183" s="212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</row>
    <row r="184" spans="1:49" s="245" customFormat="1" ht="18.75" hidden="1">
      <c r="A184" s="691" t="s">
        <v>561</v>
      </c>
      <c r="B184" s="754"/>
      <c r="C184" s="754"/>
      <c r="D184" s="692"/>
      <c r="E184" s="253" t="s">
        <v>562</v>
      </c>
      <c r="F184" s="255" t="s">
        <v>562</v>
      </c>
      <c r="G184" s="538">
        <f>SUM(G176:G183)</f>
        <v>0</v>
      </c>
      <c r="H184" s="539">
        <f>SUM(H176:H183)</f>
        <v>0</v>
      </c>
      <c r="I184" s="538">
        <f>SUM(I176:I183)</f>
        <v>0</v>
      </c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56"/>
      <c r="X184" s="256"/>
      <c r="Y184" s="256"/>
      <c r="Z184" s="256"/>
      <c r="AA184" s="256"/>
      <c r="AB184" s="256"/>
      <c r="AC184" s="256"/>
      <c r="AD184" s="256"/>
      <c r="AE184" s="256"/>
      <c r="AF184" s="256"/>
      <c r="AG184" s="256"/>
      <c r="AH184" s="256"/>
      <c r="AI184" s="256"/>
      <c r="AJ184" s="256"/>
      <c r="AK184" s="256"/>
      <c r="AL184" s="256"/>
      <c r="AM184" s="256"/>
      <c r="AN184" s="256"/>
      <c r="AO184" s="256"/>
      <c r="AP184" s="256"/>
      <c r="AQ184" s="256"/>
      <c r="AR184" s="256"/>
      <c r="AS184" s="256"/>
      <c r="AT184" s="256"/>
      <c r="AU184" s="256"/>
      <c r="AV184" s="256"/>
      <c r="AW184" s="256"/>
    </row>
    <row r="185" spans="6:49" s="245" customFormat="1" ht="15.75">
      <c r="F185" s="257"/>
      <c r="G185" s="257"/>
      <c r="H185" s="257"/>
      <c r="I185" s="257"/>
      <c r="J185" s="257"/>
      <c r="K185" s="257"/>
      <c r="L185" s="257"/>
      <c r="M185" s="257"/>
      <c r="N185" s="257"/>
      <c r="O185" s="257"/>
      <c r="P185" s="257"/>
      <c r="Q185" s="257"/>
      <c r="R185" s="257"/>
      <c r="S185" s="257"/>
      <c r="T185" s="257"/>
      <c r="U185" s="257"/>
      <c r="V185" s="257"/>
      <c r="W185" s="257"/>
      <c r="X185" s="257"/>
      <c r="Y185" s="257"/>
      <c r="Z185" s="257"/>
      <c r="AA185" s="257"/>
      <c r="AB185" s="257"/>
      <c r="AC185" s="257"/>
      <c r="AD185" s="257"/>
      <c r="AE185" s="257"/>
      <c r="AF185" s="257"/>
      <c r="AG185" s="257"/>
      <c r="AH185" s="257"/>
      <c r="AI185" s="257"/>
      <c r="AJ185" s="257"/>
      <c r="AK185" s="257"/>
      <c r="AL185" s="257"/>
      <c r="AM185" s="257"/>
      <c r="AN185" s="257"/>
      <c r="AO185" s="257"/>
      <c r="AP185" s="257"/>
      <c r="AQ185" s="257"/>
      <c r="AR185" s="257"/>
      <c r="AS185" s="257"/>
      <c r="AT185" s="257"/>
      <c r="AU185" s="257"/>
      <c r="AV185" s="257"/>
      <c r="AW185" s="257"/>
    </row>
    <row r="186" spans="6:49" s="245" customFormat="1" ht="15.75">
      <c r="F186" s="257"/>
      <c r="G186" s="257"/>
      <c r="H186" s="257"/>
      <c r="I186" s="257"/>
      <c r="J186" s="257"/>
      <c r="K186" s="257"/>
      <c r="L186" s="257"/>
      <c r="M186" s="257"/>
      <c r="N186" s="257"/>
      <c r="O186" s="257"/>
      <c r="P186" s="257"/>
      <c r="Q186" s="257"/>
      <c r="R186" s="257"/>
      <c r="S186" s="257"/>
      <c r="T186" s="257"/>
      <c r="U186" s="257"/>
      <c r="V186" s="257"/>
      <c r="W186" s="257"/>
      <c r="X186" s="257"/>
      <c r="Y186" s="257"/>
      <c r="Z186" s="257"/>
      <c r="AA186" s="257"/>
      <c r="AB186" s="257"/>
      <c r="AC186" s="257"/>
      <c r="AD186" s="257"/>
      <c r="AE186" s="257"/>
      <c r="AF186" s="257"/>
      <c r="AG186" s="257"/>
      <c r="AH186" s="257"/>
      <c r="AI186" s="257"/>
      <c r="AJ186" s="257"/>
      <c r="AK186" s="257"/>
      <c r="AL186" s="257"/>
      <c r="AM186" s="257"/>
      <c r="AN186" s="257"/>
      <c r="AO186" s="257"/>
      <c r="AP186" s="257"/>
      <c r="AQ186" s="257"/>
      <c r="AR186" s="257"/>
      <c r="AS186" s="257"/>
      <c r="AT186" s="257"/>
      <c r="AU186" s="257"/>
      <c r="AV186" s="257"/>
      <c r="AW186" s="257"/>
    </row>
    <row r="187" spans="6:49" s="245" customFormat="1" ht="15.75">
      <c r="F187" s="257"/>
      <c r="G187" s="257"/>
      <c r="H187" s="257"/>
      <c r="I187" s="257"/>
      <c r="J187" s="257"/>
      <c r="K187" s="257"/>
      <c r="L187" s="257"/>
      <c r="M187" s="257"/>
      <c r="N187" s="257"/>
      <c r="O187" s="257"/>
      <c r="P187" s="257"/>
      <c r="Q187" s="257"/>
      <c r="R187" s="257"/>
      <c r="S187" s="257"/>
      <c r="T187" s="257"/>
      <c r="U187" s="257"/>
      <c r="V187" s="257"/>
      <c r="W187" s="257"/>
      <c r="X187" s="257"/>
      <c r="Y187" s="257"/>
      <c r="Z187" s="257"/>
      <c r="AA187" s="257"/>
      <c r="AB187" s="257"/>
      <c r="AC187" s="257"/>
      <c r="AD187" s="257"/>
      <c r="AE187" s="257"/>
      <c r="AF187" s="257"/>
      <c r="AG187" s="257"/>
      <c r="AH187" s="257"/>
      <c r="AI187" s="257"/>
      <c r="AJ187" s="257"/>
      <c r="AK187" s="257"/>
      <c r="AL187" s="257"/>
      <c r="AM187" s="257"/>
      <c r="AN187" s="257"/>
      <c r="AO187" s="257"/>
      <c r="AP187" s="257"/>
      <c r="AQ187" s="257"/>
      <c r="AR187" s="257"/>
      <c r="AS187" s="257"/>
      <c r="AT187" s="257"/>
      <c r="AU187" s="257"/>
      <c r="AV187" s="257"/>
      <c r="AW187" s="257"/>
    </row>
    <row r="188" spans="6:49" s="245" customFormat="1" ht="15.75">
      <c r="F188" s="257"/>
      <c r="G188" s="257"/>
      <c r="H188" s="257"/>
      <c r="I188" s="257"/>
      <c r="J188" s="257"/>
      <c r="K188" s="257"/>
      <c r="L188" s="257"/>
      <c r="M188" s="257"/>
      <c r="N188" s="257"/>
      <c r="O188" s="257"/>
      <c r="P188" s="257"/>
      <c r="Q188" s="257"/>
      <c r="R188" s="257"/>
      <c r="S188" s="257"/>
      <c r="T188" s="257"/>
      <c r="U188" s="257"/>
      <c r="V188" s="257"/>
      <c r="W188" s="257"/>
      <c r="X188" s="257"/>
      <c r="Y188" s="257"/>
      <c r="Z188" s="257"/>
      <c r="AA188" s="257"/>
      <c r="AB188" s="257"/>
      <c r="AC188" s="257"/>
      <c r="AD188" s="257"/>
      <c r="AE188" s="257"/>
      <c r="AF188" s="257"/>
      <c r="AG188" s="257"/>
      <c r="AH188" s="257"/>
      <c r="AI188" s="257"/>
      <c r="AJ188" s="257"/>
      <c r="AK188" s="257"/>
      <c r="AL188" s="257"/>
      <c r="AM188" s="257"/>
      <c r="AN188" s="257"/>
      <c r="AO188" s="257"/>
      <c r="AP188" s="257"/>
      <c r="AQ188" s="257"/>
      <c r="AR188" s="257"/>
      <c r="AS188" s="257"/>
      <c r="AT188" s="257"/>
      <c r="AU188" s="257"/>
      <c r="AV188" s="257"/>
      <c r="AW188" s="257"/>
    </row>
    <row r="189" spans="6:49" s="245" customFormat="1" ht="15.75">
      <c r="F189" s="257"/>
      <c r="G189" s="257"/>
      <c r="H189" s="257"/>
      <c r="I189" s="257"/>
      <c r="J189" s="257"/>
      <c r="K189" s="257"/>
      <c r="L189" s="257"/>
      <c r="M189" s="257"/>
      <c r="N189" s="257"/>
      <c r="O189" s="257"/>
      <c r="P189" s="257"/>
      <c r="Q189" s="257"/>
      <c r="R189" s="257"/>
      <c r="S189" s="257"/>
      <c r="T189" s="257"/>
      <c r="U189" s="257"/>
      <c r="V189" s="257"/>
      <c r="W189" s="257"/>
      <c r="X189" s="257"/>
      <c r="Y189" s="257"/>
      <c r="Z189" s="257"/>
      <c r="AA189" s="257"/>
      <c r="AB189" s="257"/>
      <c r="AC189" s="257"/>
      <c r="AD189" s="257"/>
      <c r="AE189" s="257"/>
      <c r="AF189" s="257"/>
      <c r="AG189" s="257"/>
      <c r="AH189" s="257"/>
      <c r="AI189" s="257"/>
      <c r="AJ189" s="257"/>
      <c r="AK189" s="257"/>
      <c r="AL189" s="257"/>
      <c r="AM189" s="257"/>
      <c r="AN189" s="257"/>
      <c r="AO189" s="257"/>
      <c r="AP189" s="257"/>
      <c r="AQ189" s="257"/>
      <c r="AR189" s="257"/>
      <c r="AS189" s="257"/>
      <c r="AT189" s="257"/>
      <c r="AU189" s="257"/>
      <c r="AV189" s="257"/>
      <c r="AW189" s="257"/>
    </row>
    <row r="190" spans="1:49" s="245" customFormat="1" ht="69" customHeight="1">
      <c r="A190" s="670" t="s">
        <v>609</v>
      </c>
      <c r="B190" s="670"/>
      <c r="C190" s="670"/>
      <c r="D190" s="670"/>
      <c r="E190" s="670"/>
      <c r="F190" s="670"/>
      <c r="G190" s="670"/>
      <c r="H190" s="670"/>
      <c r="I190" s="670"/>
      <c r="J190" s="670"/>
      <c r="K190" s="670"/>
      <c r="L190" s="257"/>
      <c r="M190" s="257"/>
      <c r="N190" s="257"/>
      <c r="O190" s="257"/>
      <c r="P190" s="257"/>
      <c r="Q190" s="257"/>
      <c r="R190" s="257"/>
      <c r="S190" s="257"/>
      <c r="T190" s="257"/>
      <c r="U190" s="257"/>
      <c r="V190" s="257"/>
      <c r="W190" s="257"/>
      <c r="X190" s="257"/>
      <c r="Y190" s="257"/>
      <c r="Z190" s="257"/>
      <c r="AA190" s="257"/>
      <c r="AB190" s="257"/>
      <c r="AC190" s="257"/>
      <c r="AD190" s="257"/>
      <c r="AE190" s="257"/>
      <c r="AF190" s="257"/>
      <c r="AG190" s="257"/>
      <c r="AH190" s="257"/>
      <c r="AI190" s="257"/>
      <c r="AJ190" s="257"/>
      <c r="AK190" s="257"/>
      <c r="AL190" s="257"/>
      <c r="AM190" s="257"/>
      <c r="AN190" s="257"/>
      <c r="AO190" s="257"/>
      <c r="AP190" s="257"/>
      <c r="AQ190" s="257"/>
      <c r="AR190" s="257"/>
      <c r="AS190" s="257"/>
      <c r="AT190" s="257"/>
      <c r="AU190" s="257"/>
      <c r="AV190" s="257"/>
      <c r="AW190" s="257"/>
    </row>
    <row r="191" s="245" customFormat="1" ht="15.75"/>
    <row r="192" spans="1:11" ht="15.75" customHeight="1">
      <c r="A192" s="704" t="s">
        <v>610</v>
      </c>
      <c r="B192" s="704"/>
      <c r="C192" s="704"/>
      <c r="D192" s="704"/>
      <c r="E192" s="704"/>
      <c r="F192" s="704"/>
      <c r="G192" s="704"/>
      <c r="H192" s="704"/>
      <c r="I192" s="704"/>
      <c r="J192" s="704"/>
      <c r="K192" s="704"/>
    </row>
    <row r="193" spans="1:11" ht="15.75" customHeight="1">
      <c r="A193" s="244"/>
      <c r="B193" s="244"/>
      <c r="C193" s="244"/>
      <c r="D193" s="244"/>
      <c r="E193" s="244"/>
      <c r="F193" s="244"/>
      <c r="G193" s="244"/>
      <c r="H193" s="244"/>
      <c r="I193" s="244"/>
      <c r="J193" s="244"/>
      <c r="K193" s="244"/>
    </row>
    <row r="194" spans="2:31" ht="15.75" customHeight="1">
      <c r="B194" s="193" t="s">
        <v>611</v>
      </c>
      <c r="C194" s="193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</row>
    <row r="195" spans="2:31" ht="15.75" customHeight="1">
      <c r="B195" s="186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</row>
    <row r="196" spans="2:31" ht="15.75" customHeight="1">
      <c r="B196" s="193" t="s">
        <v>542</v>
      </c>
      <c r="C196" s="193"/>
      <c r="D196" s="193" t="s">
        <v>702</v>
      </c>
      <c r="E196" s="193"/>
      <c r="K196" s="192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</row>
    <row r="197" spans="1:4" ht="15.75" customHeight="1">
      <c r="A197" s="194"/>
      <c r="B197" s="194"/>
      <c r="C197" s="194"/>
      <c r="D197" s="194"/>
    </row>
    <row r="198" spans="1:8" ht="15.75" customHeight="1">
      <c r="A198" s="671" t="s">
        <v>545</v>
      </c>
      <c r="B198" s="653" t="s">
        <v>612</v>
      </c>
      <c r="C198" s="653"/>
      <c r="D198" s="677" t="s">
        <v>613</v>
      </c>
      <c r="E198" s="677" t="s">
        <v>614</v>
      </c>
      <c r="F198" s="705" t="s">
        <v>579</v>
      </c>
      <c r="G198" s="706"/>
      <c r="H198" s="707"/>
    </row>
    <row r="199" spans="1:8" ht="51.75" customHeight="1">
      <c r="A199" s="672"/>
      <c r="B199" s="653"/>
      <c r="C199" s="653"/>
      <c r="D199" s="678"/>
      <c r="E199" s="678"/>
      <c r="F199" s="258" t="s">
        <v>615</v>
      </c>
      <c r="G199" s="225" t="s">
        <v>557</v>
      </c>
      <c r="H199" s="227" t="s">
        <v>563</v>
      </c>
    </row>
    <row r="200" spans="1:8" ht="15.75">
      <c r="A200" s="259">
        <v>1</v>
      </c>
      <c r="B200" s="700">
        <v>2</v>
      </c>
      <c r="C200" s="700"/>
      <c r="D200" s="259">
        <v>3</v>
      </c>
      <c r="E200" s="259">
        <v>4</v>
      </c>
      <c r="F200" s="259">
        <v>5</v>
      </c>
      <c r="G200" s="260">
        <v>6</v>
      </c>
      <c r="H200" s="259">
        <v>7</v>
      </c>
    </row>
    <row r="201" spans="1:8" ht="15.75">
      <c r="A201" s="200">
        <v>1</v>
      </c>
      <c r="B201" s="701"/>
      <c r="C201" s="701"/>
      <c r="D201" s="263"/>
      <c r="E201" s="263"/>
      <c r="F201" s="232"/>
      <c r="G201" s="233"/>
      <c r="H201" s="232"/>
    </row>
    <row r="202" spans="1:8" ht="15.75">
      <c r="A202" s="200">
        <v>2</v>
      </c>
      <c r="B202" s="701"/>
      <c r="C202" s="701"/>
      <c r="D202" s="263"/>
      <c r="E202" s="263"/>
      <c r="F202" s="232"/>
      <c r="G202" s="233"/>
      <c r="H202" s="232"/>
    </row>
    <row r="203" spans="1:8" ht="15.75">
      <c r="A203" s="684" t="s">
        <v>561</v>
      </c>
      <c r="B203" s="703"/>
      <c r="C203" s="685"/>
      <c r="D203" s="275"/>
      <c r="E203" s="266" t="s">
        <v>562</v>
      </c>
      <c r="F203" s="206"/>
      <c r="G203" s="233"/>
      <c r="H203" s="232"/>
    </row>
    <row r="204" spans="1:7" ht="15.75">
      <c r="A204" s="192"/>
      <c r="B204" s="192"/>
      <c r="C204" s="192"/>
      <c r="D204" s="192"/>
      <c r="E204" s="192"/>
      <c r="F204" s="192"/>
      <c r="G204" s="192"/>
    </row>
    <row r="205" spans="1:11" ht="49.5" customHeight="1">
      <c r="A205" s="683" t="s">
        <v>619</v>
      </c>
      <c r="B205" s="683"/>
      <c r="C205" s="683"/>
      <c r="D205" s="683"/>
      <c r="E205" s="683"/>
      <c r="F205" s="683"/>
      <c r="G205" s="683"/>
      <c r="H205" s="683"/>
      <c r="I205" s="683"/>
      <c r="J205" s="683"/>
      <c r="K205" s="683"/>
    </row>
    <row r="206" spans="1:7" ht="15.75">
      <c r="A206" s="192"/>
      <c r="B206" s="192"/>
      <c r="C206" s="192"/>
      <c r="D206" s="192"/>
      <c r="E206" s="192"/>
      <c r="F206" s="192"/>
      <c r="G206" s="192"/>
    </row>
    <row r="207" spans="1:11" ht="15.75">
      <c r="A207" s="696" t="s">
        <v>620</v>
      </c>
      <c r="B207" s="696"/>
      <c r="C207" s="696"/>
      <c r="D207" s="696"/>
      <c r="E207" s="696"/>
      <c r="F207" s="696"/>
      <c r="G207" s="696"/>
      <c r="H207" s="696"/>
      <c r="I207" s="696"/>
      <c r="J207" s="696"/>
      <c r="K207" s="696"/>
    </row>
    <row r="208" spans="1:7" ht="17.25" customHeight="1">
      <c r="A208" s="699" t="s">
        <v>621</v>
      </c>
      <c r="B208" s="699"/>
      <c r="C208" s="699"/>
      <c r="D208" s="699"/>
      <c r="E208" s="699"/>
      <c r="F208" s="192"/>
      <c r="G208" s="192"/>
    </row>
    <row r="209" spans="2:31" ht="15.75" customHeight="1">
      <c r="B209" s="186" t="s">
        <v>713</v>
      </c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</row>
    <row r="210" spans="2:31" ht="15.75" customHeight="1">
      <c r="B210" s="186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</row>
    <row r="211" spans="2:31" ht="15.75" customHeight="1">
      <c r="B211" s="186" t="s">
        <v>714</v>
      </c>
      <c r="K211" s="192"/>
      <c r="L211" s="192"/>
      <c r="M211" s="192"/>
      <c r="N211" s="192"/>
      <c r="O211" s="192"/>
      <c r="P211" s="192"/>
      <c r="Q211" s="192"/>
      <c r="R211" s="192"/>
      <c r="S211" s="192"/>
      <c r="T211" s="192"/>
      <c r="U211" s="192"/>
      <c r="V211" s="192"/>
      <c r="W211" s="192"/>
      <c r="X211" s="192"/>
      <c r="Y211" s="192"/>
      <c r="Z211" s="192"/>
      <c r="AA211" s="192"/>
      <c r="AB211" s="192"/>
      <c r="AC211" s="192"/>
      <c r="AD211" s="192"/>
      <c r="AE211" s="192"/>
    </row>
    <row r="212" spans="1:7" ht="17.25" customHeight="1">
      <c r="A212" s="268"/>
      <c r="B212" s="268"/>
      <c r="C212" s="268"/>
      <c r="D212" s="268"/>
      <c r="E212" s="268"/>
      <c r="F212" s="192"/>
      <c r="G212" s="192"/>
    </row>
    <row r="213" spans="1:8" ht="15.75">
      <c r="A213" s="671" t="s">
        <v>545</v>
      </c>
      <c r="B213" s="686" t="s">
        <v>1</v>
      </c>
      <c r="C213" s="686" t="s">
        <v>605</v>
      </c>
      <c r="D213" s="686" t="s">
        <v>606</v>
      </c>
      <c r="E213" s="667" t="s">
        <v>579</v>
      </c>
      <c r="F213" s="687"/>
      <c r="G213" s="668"/>
      <c r="H213" s="257"/>
    </row>
    <row r="214" spans="1:50" ht="48.75" customHeight="1">
      <c r="A214" s="672"/>
      <c r="B214" s="686"/>
      <c r="C214" s="686"/>
      <c r="D214" s="686"/>
      <c r="E214" s="270" t="s">
        <v>607</v>
      </c>
      <c r="F214" s="271" t="s">
        <v>557</v>
      </c>
      <c r="G214" s="236" t="s">
        <v>563</v>
      </c>
      <c r="H214" s="272"/>
      <c r="I214" s="273"/>
      <c r="J214" s="247"/>
      <c r="K214" s="247"/>
      <c r="L214" s="247"/>
      <c r="M214" s="247"/>
      <c r="N214" s="247"/>
      <c r="O214" s="247"/>
      <c r="P214" s="247"/>
      <c r="Q214" s="247"/>
      <c r="R214" s="247"/>
      <c r="S214" s="247"/>
      <c r="T214" s="247"/>
      <c r="U214" s="247"/>
      <c r="V214" s="247"/>
      <c r="W214" s="247"/>
      <c r="X214" s="247"/>
      <c r="Y214" s="247"/>
      <c r="Z214" s="247"/>
      <c r="AA214" s="247"/>
      <c r="AB214" s="247"/>
      <c r="AC214" s="247"/>
      <c r="AD214" s="247"/>
      <c r="AE214" s="247"/>
      <c r="AF214" s="247"/>
      <c r="AG214" s="247"/>
      <c r="AH214" s="247"/>
      <c r="AI214" s="247"/>
      <c r="AJ214" s="247"/>
      <c r="AK214" s="247"/>
      <c r="AL214" s="247"/>
      <c r="AM214" s="247"/>
      <c r="AN214" s="247"/>
      <c r="AO214" s="247"/>
      <c r="AP214" s="247"/>
      <c r="AQ214" s="247"/>
      <c r="AR214" s="247"/>
      <c r="AS214" s="247"/>
      <c r="AT214" s="247"/>
      <c r="AU214" s="247"/>
      <c r="AV214" s="247"/>
      <c r="AW214" s="247"/>
      <c r="AX214" s="192"/>
    </row>
    <row r="215" spans="1:50" ht="14.25" customHeight="1">
      <c r="A215" s="229">
        <v>1</v>
      </c>
      <c r="B215" s="274">
        <v>2</v>
      </c>
      <c r="C215" s="274">
        <v>3</v>
      </c>
      <c r="D215" s="274">
        <v>4</v>
      </c>
      <c r="E215" s="274">
        <v>5</v>
      </c>
      <c r="F215" s="230">
        <v>6</v>
      </c>
      <c r="G215" s="229">
        <v>7</v>
      </c>
      <c r="H215" s="231"/>
      <c r="I215" s="205"/>
      <c r="J215" s="205"/>
      <c r="K215" s="205"/>
      <c r="L215" s="205"/>
      <c r="M215" s="205"/>
      <c r="N215" s="205"/>
      <c r="O215" s="205"/>
      <c r="P215" s="205"/>
      <c r="Q215" s="205"/>
      <c r="R215" s="205"/>
      <c r="S215" s="205"/>
      <c r="T215" s="205"/>
      <c r="U215" s="205"/>
      <c r="V215" s="205"/>
      <c r="W215" s="205"/>
      <c r="X215" s="205"/>
      <c r="Y215" s="205"/>
      <c r="Z215" s="205"/>
      <c r="AA215" s="205"/>
      <c r="AB215" s="205"/>
      <c r="AC215" s="205"/>
      <c r="AD215" s="205"/>
      <c r="AE215" s="205"/>
      <c r="AF215" s="205"/>
      <c r="AG215" s="205"/>
      <c r="AH215" s="205"/>
      <c r="AI215" s="205"/>
      <c r="AJ215" s="205"/>
      <c r="AK215" s="205"/>
      <c r="AL215" s="205"/>
      <c r="AM215" s="205"/>
      <c r="AN215" s="205"/>
      <c r="AO215" s="205"/>
      <c r="AP215" s="205"/>
      <c r="AQ215" s="205"/>
      <c r="AR215" s="205"/>
      <c r="AS215" s="205"/>
      <c r="AT215" s="205"/>
      <c r="AU215" s="205"/>
      <c r="AV215" s="205"/>
      <c r="AW215" s="205"/>
      <c r="AX215" s="192"/>
    </row>
    <row r="216" spans="1:50" ht="15.75">
      <c r="A216" s="200"/>
      <c r="B216" s="270"/>
      <c r="C216" s="275"/>
      <c r="D216" s="275"/>
      <c r="E216" s="275"/>
      <c r="F216" s="255"/>
      <c r="G216" s="275"/>
      <c r="H216" s="276"/>
      <c r="I216" s="212"/>
      <c r="J216" s="212"/>
      <c r="K216" s="212"/>
      <c r="L216" s="212"/>
      <c r="M216" s="212"/>
      <c r="N216" s="212"/>
      <c r="O216" s="212"/>
      <c r="P216" s="212"/>
      <c r="Q216" s="212"/>
      <c r="R216" s="212"/>
      <c r="S216" s="212"/>
      <c r="T216" s="212"/>
      <c r="U216" s="212"/>
      <c r="V216" s="212"/>
      <c r="W216" s="247"/>
      <c r="X216" s="247"/>
      <c r="Y216" s="247"/>
      <c r="Z216" s="247"/>
      <c r="AA216" s="247"/>
      <c r="AB216" s="247"/>
      <c r="AC216" s="247"/>
      <c r="AD216" s="247"/>
      <c r="AE216" s="247"/>
      <c r="AF216" s="247"/>
      <c r="AG216" s="247"/>
      <c r="AH216" s="247"/>
      <c r="AI216" s="247"/>
      <c r="AJ216" s="247"/>
      <c r="AK216" s="247"/>
      <c r="AL216" s="247"/>
      <c r="AM216" s="247"/>
      <c r="AN216" s="247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192"/>
    </row>
    <row r="217" spans="1:50" ht="15.75">
      <c r="A217" s="200"/>
      <c r="B217" s="270"/>
      <c r="C217" s="275"/>
      <c r="D217" s="275"/>
      <c r="E217" s="275"/>
      <c r="F217" s="255"/>
      <c r="G217" s="275"/>
      <c r="H217" s="276"/>
      <c r="I217" s="212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12"/>
      <c r="W217" s="247"/>
      <c r="X217" s="247"/>
      <c r="Y217" s="247"/>
      <c r="Z217" s="247"/>
      <c r="AA217" s="247"/>
      <c r="AB217" s="247"/>
      <c r="AC217" s="247"/>
      <c r="AD217" s="247"/>
      <c r="AE217" s="247"/>
      <c r="AF217" s="247"/>
      <c r="AG217" s="247"/>
      <c r="AH217" s="247"/>
      <c r="AI217" s="247"/>
      <c r="AJ217" s="247"/>
      <c r="AK217" s="247"/>
      <c r="AL217" s="247"/>
      <c r="AM217" s="247"/>
      <c r="AN217" s="247"/>
      <c r="AO217" s="247"/>
      <c r="AP217" s="247"/>
      <c r="AQ217" s="247"/>
      <c r="AR217" s="247"/>
      <c r="AS217" s="247"/>
      <c r="AT217" s="247"/>
      <c r="AU217" s="247"/>
      <c r="AV217" s="247"/>
      <c r="AW217" s="247"/>
      <c r="AX217" s="192"/>
    </row>
    <row r="218" spans="1:50" ht="15.75">
      <c r="A218" s="684" t="s">
        <v>561</v>
      </c>
      <c r="B218" s="685"/>
      <c r="C218" s="275" t="s">
        <v>562</v>
      </c>
      <c r="D218" s="275" t="s">
        <v>562</v>
      </c>
      <c r="E218" s="275"/>
      <c r="F218" s="255"/>
      <c r="G218" s="275"/>
      <c r="H218" s="276"/>
      <c r="I218" s="21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12"/>
      <c r="W218" s="256"/>
      <c r="X218" s="256"/>
      <c r="Y218" s="256"/>
      <c r="Z218" s="256"/>
      <c r="AA218" s="256"/>
      <c r="AB218" s="256"/>
      <c r="AC218" s="256"/>
      <c r="AD218" s="256"/>
      <c r="AE218" s="256"/>
      <c r="AF218" s="256"/>
      <c r="AG218" s="256"/>
      <c r="AH218" s="256"/>
      <c r="AI218" s="256"/>
      <c r="AJ218" s="256"/>
      <c r="AK218" s="256"/>
      <c r="AL218" s="256"/>
      <c r="AM218" s="256"/>
      <c r="AN218" s="256"/>
      <c r="AO218" s="256"/>
      <c r="AP218" s="256"/>
      <c r="AQ218" s="256"/>
      <c r="AR218" s="256"/>
      <c r="AS218" s="256"/>
      <c r="AT218" s="256"/>
      <c r="AU218" s="256"/>
      <c r="AV218" s="256"/>
      <c r="AW218" s="256"/>
      <c r="AX218" s="192"/>
    </row>
    <row r="219" spans="1:50" ht="15.75">
      <c r="A219" s="277"/>
      <c r="B219" s="277"/>
      <c r="C219" s="276"/>
      <c r="D219" s="276"/>
      <c r="E219" s="276"/>
      <c r="F219" s="276"/>
      <c r="G219" s="276"/>
      <c r="H219" s="276"/>
      <c r="I219" s="212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12"/>
      <c r="W219" s="256"/>
      <c r="X219" s="256"/>
      <c r="Y219" s="256"/>
      <c r="Z219" s="256"/>
      <c r="AA219" s="256"/>
      <c r="AB219" s="256"/>
      <c r="AC219" s="256"/>
      <c r="AD219" s="256"/>
      <c r="AE219" s="256"/>
      <c r="AF219" s="256"/>
      <c r="AG219" s="256"/>
      <c r="AH219" s="256"/>
      <c r="AI219" s="256"/>
      <c r="AJ219" s="256"/>
      <c r="AK219" s="256"/>
      <c r="AL219" s="256"/>
      <c r="AM219" s="256"/>
      <c r="AN219" s="256"/>
      <c r="AO219" s="256"/>
      <c r="AP219" s="256"/>
      <c r="AQ219" s="256"/>
      <c r="AR219" s="256"/>
      <c r="AS219" s="256"/>
      <c r="AT219" s="256"/>
      <c r="AU219" s="256"/>
      <c r="AV219" s="256"/>
      <c r="AW219" s="256"/>
      <c r="AX219" s="192"/>
    </row>
    <row r="220" spans="1:50" ht="36" customHeight="1">
      <c r="A220" s="697" t="s">
        <v>623</v>
      </c>
      <c r="B220" s="697"/>
      <c r="C220" s="697"/>
      <c r="D220" s="697"/>
      <c r="E220" s="697"/>
      <c r="F220" s="697"/>
      <c r="G220" s="697"/>
      <c r="H220" s="697"/>
      <c r="I220" s="697"/>
      <c r="J220" s="697"/>
      <c r="K220" s="697"/>
      <c r="L220" s="212"/>
      <c r="M220" s="212"/>
      <c r="N220" s="212"/>
      <c r="O220" s="212"/>
      <c r="P220" s="212"/>
      <c r="Q220" s="212"/>
      <c r="R220" s="212"/>
      <c r="S220" s="212"/>
      <c r="T220" s="212"/>
      <c r="U220" s="212"/>
      <c r="V220" s="212"/>
      <c r="W220" s="256"/>
      <c r="X220" s="256"/>
      <c r="Y220" s="256"/>
      <c r="Z220" s="256"/>
      <c r="AA220" s="256"/>
      <c r="AB220" s="256"/>
      <c r="AC220" s="256"/>
      <c r="AD220" s="256"/>
      <c r="AE220" s="256"/>
      <c r="AF220" s="256"/>
      <c r="AG220" s="256"/>
      <c r="AH220" s="256"/>
      <c r="AI220" s="256"/>
      <c r="AJ220" s="256"/>
      <c r="AK220" s="256"/>
      <c r="AL220" s="256"/>
      <c r="AM220" s="256"/>
      <c r="AN220" s="256"/>
      <c r="AO220" s="256"/>
      <c r="AP220" s="256"/>
      <c r="AQ220" s="256"/>
      <c r="AR220" s="256"/>
      <c r="AS220" s="256"/>
      <c r="AT220" s="256"/>
      <c r="AU220" s="256"/>
      <c r="AV220" s="256"/>
      <c r="AW220" s="256"/>
      <c r="AX220" s="192"/>
    </row>
    <row r="221" spans="2:11" ht="15.75">
      <c r="B221" s="186"/>
      <c r="I221" s="192"/>
      <c r="J221" s="278"/>
      <c r="K221" s="278"/>
    </row>
    <row r="222" spans="1:12" ht="15.75" customHeight="1">
      <c r="A222" s="698" t="s">
        <v>624</v>
      </c>
      <c r="B222" s="698"/>
      <c r="C222" s="698"/>
      <c r="D222" s="698"/>
      <c r="E222" s="698"/>
      <c r="F222" s="698"/>
      <c r="G222" s="698"/>
      <c r="H222" s="698"/>
      <c r="I222" s="698"/>
      <c r="J222" s="698"/>
      <c r="K222" s="698"/>
      <c r="L222" s="280"/>
    </row>
    <row r="223" spans="1:12" ht="15.75" customHeight="1">
      <c r="A223" s="279"/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80"/>
    </row>
    <row r="224" spans="2:31" ht="15.75" customHeight="1">
      <c r="B224" s="186" t="s">
        <v>713</v>
      </c>
      <c r="K224" s="192"/>
      <c r="L224" s="192"/>
      <c r="M224" s="192"/>
      <c r="N224" s="192"/>
      <c r="O224" s="192"/>
      <c r="P224" s="192"/>
      <c r="Q224" s="192"/>
      <c r="R224" s="192"/>
      <c r="S224" s="192"/>
      <c r="T224" s="192"/>
      <c r="U224" s="192"/>
      <c r="V224" s="192"/>
      <c r="W224" s="192"/>
      <c r="X224" s="192"/>
      <c r="Y224" s="192"/>
      <c r="Z224" s="192"/>
      <c r="AA224" s="192"/>
      <c r="AB224" s="192"/>
      <c r="AC224" s="192"/>
      <c r="AD224" s="192"/>
      <c r="AE224" s="192"/>
    </row>
    <row r="225" spans="2:31" ht="15.75" customHeight="1">
      <c r="B225" s="186"/>
      <c r="K225" s="192"/>
      <c r="L225" s="192"/>
      <c r="M225" s="192"/>
      <c r="N225" s="192"/>
      <c r="O225" s="192"/>
      <c r="P225" s="192"/>
      <c r="Q225" s="192"/>
      <c r="R225" s="192"/>
      <c r="S225" s="192"/>
      <c r="T225" s="192"/>
      <c r="U225" s="192"/>
      <c r="V225" s="192"/>
      <c r="W225" s="192"/>
      <c r="X225" s="192"/>
      <c r="Y225" s="192"/>
      <c r="Z225" s="192"/>
      <c r="AA225" s="192"/>
      <c r="AB225" s="192"/>
      <c r="AC225" s="192"/>
      <c r="AD225" s="192"/>
      <c r="AE225" s="192"/>
    </row>
    <row r="226" spans="2:31" ht="15.75" customHeight="1">
      <c r="B226" s="186" t="s">
        <v>714</v>
      </c>
      <c r="K226" s="192"/>
      <c r="L226" s="192"/>
      <c r="M226" s="192"/>
      <c r="N226" s="192"/>
      <c r="O226" s="192"/>
      <c r="P226" s="192"/>
      <c r="Q226" s="192"/>
      <c r="R226" s="192"/>
      <c r="S226" s="192"/>
      <c r="T226" s="192"/>
      <c r="U226" s="192"/>
      <c r="V226" s="192"/>
      <c r="W226" s="192"/>
      <c r="X226" s="192"/>
      <c r="Y226" s="192"/>
      <c r="Z226" s="192"/>
      <c r="AA226" s="192"/>
      <c r="AB226" s="192"/>
      <c r="AC226" s="192"/>
      <c r="AD226" s="192"/>
      <c r="AE226" s="192"/>
    </row>
    <row r="227" spans="1:12" ht="15.75" customHeight="1">
      <c r="A227" s="224"/>
      <c r="B227" s="224"/>
      <c r="C227" s="224"/>
      <c r="D227" s="224"/>
      <c r="E227" s="224"/>
      <c r="F227" s="224"/>
      <c r="G227" s="280"/>
      <c r="H227" s="280"/>
      <c r="I227" s="280"/>
      <c r="J227" s="280"/>
      <c r="K227" s="280"/>
      <c r="L227" s="280"/>
    </row>
    <row r="228" spans="1:8" ht="15.75" customHeight="1">
      <c r="A228" s="671" t="s">
        <v>545</v>
      </c>
      <c r="B228" s="686" t="s">
        <v>1</v>
      </c>
      <c r="C228" s="686" t="s">
        <v>605</v>
      </c>
      <c r="D228" s="686" t="s">
        <v>606</v>
      </c>
      <c r="E228" s="667" t="s">
        <v>579</v>
      </c>
      <c r="F228" s="687"/>
      <c r="G228" s="668"/>
      <c r="H228" s="257"/>
    </row>
    <row r="229" spans="1:50" ht="47.25" customHeight="1">
      <c r="A229" s="672"/>
      <c r="B229" s="686"/>
      <c r="C229" s="686"/>
      <c r="D229" s="686"/>
      <c r="E229" s="270" t="s">
        <v>607</v>
      </c>
      <c r="F229" s="236" t="s">
        <v>557</v>
      </c>
      <c r="G229" s="236" t="s">
        <v>563</v>
      </c>
      <c r="H229" s="272"/>
      <c r="I229" s="247"/>
      <c r="J229" s="247"/>
      <c r="K229" s="247"/>
      <c r="L229" s="247"/>
      <c r="M229" s="247"/>
      <c r="N229" s="247"/>
      <c r="O229" s="247"/>
      <c r="P229" s="247"/>
      <c r="Q229" s="247"/>
      <c r="R229" s="247"/>
      <c r="S229" s="247"/>
      <c r="T229" s="247"/>
      <c r="U229" s="247"/>
      <c r="V229" s="247"/>
      <c r="W229" s="247"/>
      <c r="X229" s="247"/>
      <c r="Y229" s="247"/>
      <c r="Z229" s="247"/>
      <c r="AA229" s="247"/>
      <c r="AB229" s="247"/>
      <c r="AC229" s="247"/>
      <c r="AD229" s="247"/>
      <c r="AE229" s="247"/>
      <c r="AF229" s="247"/>
      <c r="AG229" s="247"/>
      <c r="AH229" s="247"/>
      <c r="AI229" s="247"/>
      <c r="AJ229" s="247"/>
      <c r="AK229" s="247"/>
      <c r="AL229" s="247"/>
      <c r="AM229" s="247"/>
      <c r="AN229" s="247"/>
      <c r="AO229" s="247"/>
      <c r="AP229" s="247"/>
      <c r="AQ229" s="247"/>
      <c r="AR229" s="247"/>
      <c r="AS229" s="247"/>
      <c r="AT229" s="247"/>
      <c r="AU229" s="247"/>
      <c r="AV229" s="247"/>
      <c r="AW229" s="247"/>
      <c r="AX229" s="192"/>
    </row>
    <row r="230" spans="1:50" ht="12" customHeight="1">
      <c r="A230" s="281">
        <v>1</v>
      </c>
      <c r="B230" s="282">
        <v>2</v>
      </c>
      <c r="C230" s="282">
        <v>3</v>
      </c>
      <c r="D230" s="282">
        <v>4</v>
      </c>
      <c r="E230" s="274">
        <v>5</v>
      </c>
      <c r="F230" s="229">
        <v>6</v>
      </c>
      <c r="G230" s="229">
        <v>7</v>
      </c>
      <c r="H230" s="231"/>
      <c r="I230" s="205"/>
      <c r="J230" s="205"/>
      <c r="K230" s="205"/>
      <c r="L230" s="205"/>
      <c r="M230" s="205"/>
      <c r="N230" s="205"/>
      <c r="O230" s="205"/>
      <c r="P230" s="205"/>
      <c r="Q230" s="205"/>
      <c r="R230" s="205"/>
      <c r="S230" s="205"/>
      <c r="T230" s="205"/>
      <c r="U230" s="205"/>
      <c r="V230" s="205"/>
      <c r="W230" s="205"/>
      <c r="X230" s="205"/>
      <c r="Y230" s="205"/>
      <c r="Z230" s="205"/>
      <c r="AA230" s="205"/>
      <c r="AB230" s="205"/>
      <c r="AC230" s="205"/>
      <c r="AD230" s="205"/>
      <c r="AE230" s="205"/>
      <c r="AF230" s="205"/>
      <c r="AG230" s="205"/>
      <c r="AH230" s="205"/>
      <c r="AI230" s="205"/>
      <c r="AJ230" s="205"/>
      <c r="AK230" s="205"/>
      <c r="AL230" s="205"/>
      <c r="AM230" s="205"/>
      <c r="AN230" s="205"/>
      <c r="AO230" s="205"/>
      <c r="AP230" s="205"/>
      <c r="AQ230" s="205"/>
      <c r="AR230" s="205"/>
      <c r="AS230" s="205"/>
      <c r="AT230" s="205"/>
      <c r="AU230" s="205"/>
      <c r="AV230" s="205"/>
      <c r="AW230" s="205"/>
      <c r="AX230" s="192"/>
    </row>
    <row r="231" spans="1:50" ht="15.75">
      <c r="A231" s="200"/>
      <c r="B231" s="196"/>
      <c r="C231" s="202"/>
      <c r="D231" s="202"/>
      <c r="E231" s="275"/>
      <c r="F231" s="275"/>
      <c r="G231" s="275"/>
      <c r="H231" s="276"/>
      <c r="I231" s="212"/>
      <c r="J231" s="212"/>
      <c r="K231" s="212"/>
      <c r="L231" s="212"/>
      <c r="M231" s="212"/>
      <c r="N231" s="212"/>
      <c r="O231" s="212"/>
      <c r="P231" s="212"/>
      <c r="Q231" s="212"/>
      <c r="R231" s="212"/>
      <c r="S231" s="212"/>
      <c r="T231" s="212"/>
      <c r="U231" s="212"/>
      <c r="V231" s="212"/>
      <c r="W231" s="247"/>
      <c r="X231" s="247"/>
      <c r="Y231" s="247"/>
      <c r="Z231" s="247"/>
      <c r="AA231" s="247"/>
      <c r="AB231" s="247"/>
      <c r="AC231" s="247"/>
      <c r="AD231" s="247"/>
      <c r="AE231" s="247"/>
      <c r="AF231" s="247"/>
      <c r="AG231" s="247"/>
      <c r="AH231" s="247"/>
      <c r="AI231" s="247"/>
      <c r="AJ231" s="247"/>
      <c r="AK231" s="247"/>
      <c r="AL231" s="247"/>
      <c r="AM231" s="247"/>
      <c r="AN231" s="247"/>
      <c r="AO231" s="247"/>
      <c r="AP231" s="247"/>
      <c r="AQ231" s="247"/>
      <c r="AR231" s="247"/>
      <c r="AS231" s="247"/>
      <c r="AT231" s="247"/>
      <c r="AU231" s="247"/>
      <c r="AV231" s="247"/>
      <c r="AW231" s="247"/>
      <c r="AX231" s="192"/>
    </row>
    <row r="232" spans="1:50" ht="15.75">
      <c r="A232" s="200"/>
      <c r="B232" s="196"/>
      <c r="C232" s="202"/>
      <c r="D232" s="202"/>
      <c r="E232" s="275"/>
      <c r="F232" s="275"/>
      <c r="G232" s="275"/>
      <c r="H232" s="276"/>
      <c r="I232" s="212"/>
      <c r="J232" s="212"/>
      <c r="K232" s="212"/>
      <c r="L232" s="212"/>
      <c r="M232" s="212"/>
      <c r="N232" s="212"/>
      <c r="O232" s="212"/>
      <c r="P232" s="212"/>
      <c r="Q232" s="212"/>
      <c r="R232" s="212"/>
      <c r="S232" s="212"/>
      <c r="T232" s="212"/>
      <c r="U232" s="212"/>
      <c r="V232" s="212"/>
      <c r="W232" s="247"/>
      <c r="X232" s="247"/>
      <c r="Y232" s="247"/>
      <c r="Z232" s="247"/>
      <c r="AA232" s="247"/>
      <c r="AB232" s="247"/>
      <c r="AC232" s="247"/>
      <c r="AD232" s="247"/>
      <c r="AE232" s="247"/>
      <c r="AF232" s="247"/>
      <c r="AG232" s="247"/>
      <c r="AH232" s="247"/>
      <c r="AI232" s="247"/>
      <c r="AJ232" s="247"/>
      <c r="AK232" s="247"/>
      <c r="AL232" s="247"/>
      <c r="AM232" s="247"/>
      <c r="AN232" s="247"/>
      <c r="AO232" s="247"/>
      <c r="AP232" s="247"/>
      <c r="AQ232" s="247"/>
      <c r="AR232" s="247"/>
      <c r="AS232" s="247"/>
      <c r="AT232" s="247"/>
      <c r="AU232" s="247"/>
      <c r="AV232" s="247"/>
      <c r="AW232" s="247"/>
      <c r="AX232" s="192"/>
    </row>
    <row r="233" spans="1:50" ht="15.75">
      <c r="A233" s="684" t="s">
        <v>561</v>
      </c>
      <c r="B233" s="685"/>
      <c r="C233" s="202" t="s">
        <v>562</v>
      </c>
      <c r="D233" s="202" t="s">
        <v>562</v>
      </c>
      <c r="E233" s="275"/>
      <c r="F233" s="275"/>
      <c r="G233" s="275"/>
      <c r="H233" s="276"/>
      <c r="I233" s="212"/>
      <c r="J233" s="212"/>
      <c r="K233" s="212"/>
      <c r="L233" s="212"/>
      <c r="M233" s="212"/>
      <c r="N233" s="212"/>
      <c r="O233" s="212"/>
      <c r="P233" s="212"/>
      <c r="Q233" s="212"/>
      <c r="R233" s="212"/>
      <c r="S233" s="212"/>
      <c r="T233" s="212"/>
      <c r="U233" s="212"/>
      <c r="V233" s="212"/>
      <c r="W233" s="256"/>
      <c r="X233" s="256"/>
      <c r="Y233" s="256"/>
      <c r="Z233" s="256"/>
      <c r="AA233" s="256"/>
      <c r="AB233" s="256"/>
      <c r="AC233" s="256"/>
      <c r="AD233" s="256"/>
      <c r="AE233" s="256"/>
      <c r="AF233" s="256"/>
      <c r="AG233" s="256"/>
      <c r="AH233" s="256"/>
      <c r="AI233" s="256"/>
      <c r="AJ233" s="256"/>
      <c r="AK233" s="256"/>
      <c r="AL233" s="256"/>
      <c r="AM233" s="256"/>
      <c r="AN233" s="256"/>
      <c r="AO233" s="256"/>
      <c r="AP233" s="256"/>
      <c r="AQ233" s="256"/>
      <c r="AR233" s="256"/>
      <c r="AS233" s="256"/>
      <c r="AT233" s="256"/>
      <c r="AU233" s="256"/>
      <c r="AV233" s="256"/>
      <c r="AW233" s="256"/>
      <c r="AX233" s="192"/>
    </row>
    <row r="234" spans="1:50" ht="15.75">
      <c r="A234" s="237"/>
      <c r="B234" s="192"/>
      <c r="C234" s="237"/>
      <c r="D234" s="237"/>
      <c r="E234" s="237"/>
      <c r="F234" s="237"/>
      <c r="G234" s="192"/>
      <c r="H234" s="278"/>
      <c r="I234" s="278"/>
      <c r="J234" s="192"/>
      <c r="K234" s="192"/>
      <c r="L234" s="192"/>
      <c r="M234" s="192"/>
      <c r="N234" s="192"/>
      <c r="O234" s="192"/>
      <c r="P234" s="192"/>
      <c r="Q234" s="192"/>
      <c r="R234" s="192"/>
      <c r="S234" s="192"/>
      <c r="T234" s="192"/>
      <c r="U234" s="192"/>
      <c r="V234" s="192"/>
      <c r="W234" s="192"/>
      <c r="X234" s="192"/>
      <c r="Y234" s="192"/>
      <c r="Z234" s="192"/>
      <c r="AA234" s="192"/>
      <c r="AB234" s="192"/>
      <c r="AC234" s="192"/>
      <c r="AD234" s="192"/>
      <c r="AE234" s="192"/>
      <c r="AF234" s="192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92"/>
      <c r="AT234" s="192"/>
      <c r="AU234" s="192"/>
      <c r="AV234" s="192"/>
      <c r="AW234" s="192"/>
      <c r="AX234" s="192"/>
    </row>
    <row r="235" spans="1:50" ht="39" customHeight="1">
      <c r="A235" s="683" t="s">
        <v>625</v>
      </c>
      <c r="B235" s="683"/>
      <c r="C235" s="683"/>
      <c r="D235" s="683"/>
      <c r="E235" s="683"/>
      <c r="F235" s="683"/>
      <c r="G235" s="683"/>
      <c r="H235" s="683"/>
      <c r="I235" s="683"/>
      <c r="J235" s="683"/>
      <c r="K235" s="683"/>
      <c r="L235" s="192"/>
      <c r="M235" s="192"/>
      <c r="N235" s="192"/>
      <c r="O235" s="192"/>
      <c r="P235" s="192"/>
      <c r="Q235" s="192"/>
      <c r="R235" s="192"/>
      <c r="S235" s="192"/>
      <c r="T235" s="192"/>
      <c r="U235" s="192"/>
      <c r="V235" s="192"/>
      <c r="W235" s="192"/>
      <c r="X235" s="192"/>
      <c r="Y235" s="192"/>
      <c r="Z235" s="192"/>
      <c r="AA235" s="192"/>
      <c r="AB235" s="192"/>
      <c r="AC235" s="192"/>
      <c r="AD235" s="192"/>
      <c r="AE235" s="192"/>
      <c r="AF235" s="192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92"/>
      <c r="AT235" s="192"/>
      <c r="AU235" s="192"/>
      <c r="AV235" s="192"/>
      <c r="AW235" s="192"/>
      <c r="AX235" s="192"/>
    </row>
    <row r="236" spans="1:50" ht="15.75">
      <c r="A236" s="237"/>
      <c r="B236" s="192"/>
      <c r="C236" s="237"/>
      <c r="D236" s="237"/>
      <c r="E236" s="237"/>
      <c r="F236" s="237"/>
      <c r="G236" s="192"/>
      <c r="H236" s="278"/>
      <c r="I236" s="278"/>
      <c r="J236" s="192"/>
      <c r="K236" s="192"/>
      <c r="L236" s="192"/>
      <c r="M236" s="192"/>
      <c r="N236" s="192"/>
      <c r="O236" s="192"/>
      <c r="P236" s="192"/>
      <c r="Q236" s="192"/>
      <c r="R236" s="192"/>
      <c r="S236" s="192"/>
      <c r="T236" s="192"/>
      <c r="U236" s="192"/>
      <c r="V236" s="192"/>
      <c r="W236" s="192"/>
      <c r="X236" s="192"/>
      <c r="Y236" s="192"/>
      <c r="Z236" s="192"/>
      <c r="AA236" s="192"/>
      <c r="AB236" s="192"/>
      <c r="AC236" s="192"/>
      <c r="AD236" s="192"/>
      <c r="AE236" s="192"/>
      <c r="AF236" s="192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92"/>
      <c r="AT236" s="192"/>
      <c r="AU236" s="192"/>
      <c r="AV236" s="192"/>
      <c r="AW236" s="192"/>
      <c r="AX236" s="192"/>
    </row>
    <row r="237" spans="1:11" ht="15.75">
      <c r="A237" s="696" t="s">
        <v>626</v>
      </c>
      <c r="B237" s="696"/>
      <c r="C237" s="696"/>
      <c r="D237" s="696"/>
      <c r="E237" s="696"/>
      <c r="F237" s="696"/>
      <c r="G237" s="696"/>
      <c r="H237" s="696"/>
      <c r="I237" s="696"/>
      <c r="J237" s="696"/>
      <c r="K237" s="696"/>
    </row>
    <row r="238" spans="1:10" ht="15.75">
      <c r="A238" s="237"/>
      <c r="B238" s="192"/>
      <c r="C238" s="237"/>
      <c r="D238" s="237"/>
      <c r="E238" s="237"/>
      <c r="F238" s="237"/>
      <c r="G238" s="192"/>
      <c r="H238" s="278"/>
      <c r="I238" s="278"/>
      <c r="J238" s="192"/>
    </row>
    <row r="239" spans="2:31" ht="15.75" customHeight="1">
      <c r="B239" s="193" t="s">
        <v>627</v>
      </c>
      <c r="C239" s="193"/>
      <c r="K239" s="192"/>
      <c r="L239" s="192"/>
      <c r="M239" s="192"/>
      <c r="N239" s="192"/>
      <c r="O239" s="192"/>
      <c r="P239" s="192"/>
      <c r="Q239" s="192"/>
      <c r="R239" s="192"/>
      <c r="S239" s="192"/>
      <c r="T239" s="192"/>
      <c r="U239" s="192"/>
      <c r="V239" s="192"/>
      <c r="W239" s="192"/>
      <c r="X239" s="192"/>
      <c r="Y239" s="192"/>
      <c r="Z239" s="192"/>
      <c r="AA239" s="192"/>
      <c r="AB239" s="192"/>
      <c r="AC239" s="192"/>
      <c r="AD239" s="192"/>
      <c r="AE239" s="192"/>
    </row>
    <row r="240" spans="2:31" ht="15.75" customHeight="1">
      <c r="B240" s="186"/>
      <c r="K240" s="192"/>
      <c r="L240" s="192"/>
      <c r="M240" s="192"/>
      <c r="N240" s="192"/>
      <c r="O240" s="192"/>
      <c r="P240" s="192"/>
      <c r="Q240" s="192"/>
      <c r="R240" s="192"/>
      <c r="S240" s="192"/>
      <c r="T240" s="192"/>
      <c r="U240" s="192"/>
      <c r="V240" s="192"/>
      <c r="W240" s="192"/>
      <c r="X240" s="192"/>
      <c r="Y240" s="192"/>
      <c r="Z240" s="192"/>
      <c r="AA240" s="192"/>
      <c r="AB240" s="192"/>
      <c r="AC240" s="192"/>
      <c r="AD240" s="192"/>
      <c r="AE240" s="192"/>
    </row>
    <row r="241" spans="2:31" ht="15.75" customHeight="1">
      <c r="B241" s="193" t="s">
        <v>542</v>
      </c>
      <c r="C241" s="193"/>
      <c r="D241" s="193" t="s">
        <v>702</v>
      </c>
      <c r="E241" s="193"/>
      <c r="K241" s="192"/>
      <c r="L241" s="192"/>
      <c r="M241" s="192"/>
      <c r="N241" s="192"/>
      <c r="O241" s="192"/>
      <c r="P241" s="192"/>
      <c r="Q241" s="192"/>
      <c r="R241" s="192"/>
      <c r="S241" s="192"/>
      <c r="T241" s="192"/>
      <c r="U241" s="192"/>
      <c r="V241" s="192"/>
      <c r="W241" s="192"/>
      <c r="X241" s="192"/>
      <c r="Y241" s="192"/>
      <c r="Z241" s="192"/>
      <c r="AA241" s="192"/>
      <c r="AB241" s="192"/>
      <c r="AC241" s="192"/>
      <c r="AD241" s="192"/>
      <c r="AE241" s="192"/>
    </row>
    <row r="242" spans="1:10" ht="15.75">
      <c r="A242" s="237"/>
      <c r="B242" s="192"/>
      <c r="C242" s="237"/>
      <c r="D242" s="237"/>
      <c r="E242" s="237"/>
      <c r="F242" s="237"/>
      <c r="G242" s="192"/>
      <c r="H242" s="278"/>
      <c r="I242" s="278"/>
      <c r="J242" s="192"/>
    </row>
    <row r="243" spans="1:10" ht="15.75">
      <c r="A243" s="237"/>
      <c r="B243" s="223" t="s">
        <v>628</v>
      </c>
      <c r="C243" s="237"/>
      <c r="D243" s="237"/>
      <c r="E243" s="237"/>
      <c r="F243" s="237"/>
      <c r="G243" s="192"/>
      <c r="H243" s="278"/>
      <c r="I243" s="278"/>
      <c r="J243" s="192"/>
    </row>
    <row r="244" spans="1:10" ht="15.75">
      <c r="A244" s="283"/>
      <c r="B244" s="283"/>
      <c r="C244" s="283"/>
      <c r="D244" s="283"/>
      <c r="E244" s="237"/>
      <c r="F244" s="237"/>
      <c r="G244" s="192"/>
      <c r="H244" s="278"/>
      <c r="I244" s="278"/>
      <c r="J244" s="192"/>
    </row>
    <row r="245" spans="1:36" ht="22.5" customHeight="1">
      <c r="A245" s="671" t="s">
        <v>545</v>
      </c>
      <c r="B245" s="686" t="s">
        <v>566</v>
      </c>
      <c r="C245" s="686" t="s">
        <v>629</v>
      </c>
      <c r="D245" s="686" t="s">
        <v>630</v>
      </c>
      <c r="E245" s="686" t="s">
        <v>631</v>
      </c>
      <c r="F245" s="667" t="s">
        <v>579</v>
      </c>
      <c r="G245" s="687"/>
      <c r="H245" s="668"/>
      <c r="I245" s="257"/>
      <c r="J245" s="192"/>
      <c r="K245" s="192"/>
      <c r="L245" s="192"/>
      <c r="M245" s="192"/>
      <c r="N245" s="192"/>
      <c r="O245" s="192"/>
      <c r="P245" s="192"/>
      <c r="Q245" s="192"/>
      <c r="R245" s="192"/>
      <c r="S245" s="192"/>
      <c r="T245" s="192"/>
      <c r="U245" s="192"/>
      <c r="V245" s="192"/>
      <c r="W245" s="192"/>
      <c r="X245" s="192"/>
      <c r="Y245" s="192"/>
      <c r="Z245" s="192"/>
      <c r="AA245" s="192"/>
      <c r="AB245" s="192"/>
      <c r="AC245" s="192"/>
      <c r="AD245" s="192"/>
      <c r="AE245" s="192"/>
      <c r="AF245" s="192"/>
      <c r="AG245" s="192"/>
      <c r="AH245" s="192"/>
      <c r="AI245" s="192"/>
      <c r="AJ245" s="192"/>
    </row>
    <row r="246" spans="1:36" ht="56.25" customHeight="1">
      <c r="A246" s="672"/>
      <c r="B246" s="686"/>
      <c r="C246" s="686"/>
      <c r="D246" s="686"/>
      <c r="E246" s="686"/>
      <c r="F246" s="246" t="s">
        <v>632</v>
      </c>
      <c r="G246" s="225" t="s">
        <v>557</v>
      </c>
      <c r="H246" s="227" t="s">
        <v>563</v>
      </c>
      <c r="I246" s="272"/>
      <c r="J246" s="247"/>
      <c r="K246" s="247"/>
      <c r="L246" s="247"/>
      <c r="M246" s="247"/>
      <c r="N246" s="247"/>
      <c r="O246" s="247"/>
      <c r="P246" s="247"/>
      <c r="Q246" s="247"/>
      <c r="R246" s="247"/>
      <c r="S246" s="247"/>
      <c r="T246" s="247"/>
      <c r="U246" s="247"/>
      <c r="V246" s="284"/>
      <c r="W246" s="284"/>
      <c r="X246" s="284"/>
      <c r="Y246" s="284"/>
      <c r="Z246" s="284"/>
      <c r="AA246" s="284"/>
      <c r="AB246" s="284"/>
      <c r="AC246" s="284"/>
      <c r="AD246" s="284"/>
      <c r="AE246" s="284"/>
      <c r="AF246" s="284"/>
      <c r="AG246" s="284"/>
      <c r="AH246" s="284"/>
      <c r="AI246" s="284"/>
      <c r="AJ246" s="192"/>
    </row>
    <row r="247" spans="1:36" ht="15.75">
      <c r="A247" s="201">
        <v>1</v>
      </c>
      <c r="B247" s="201">
        <v>2</v>
      </c>
      <c r="C247" s="201">
        <v>3</v>
      </c>
      <c r="D247" s="201">
        <v>4</v>
      </c>
      <c r="E247" s="201">
        <v>5</v>
      </c>
      <c r="F247" s="204">
        <v>6</v>
      </c>
      <c r="G247" s="230">
        <v>7</v>
      </c>
      <c r="H247" s="229">
        <v>8</v>
      </c>
      <c r="I247" s="231"/>
      <c r="J247" s="205"/>
      <c r="K247" s="205"/>
      <c r="L247" s="205"/>
      <c r="M247" s="205"/>
      <c r="N247" s="205"/>
      <c r="O247" s="205"/>
      <c r="P247" s="205"/>
      <c r="Q247" s="205"/>
      <c r="R247" s="205"/>
      <c r="S247" s="205"/>
      <c r="T247" s="205"/>
      <c r="U247" s="20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  <c r="AF247" s="285"/>
      <c r="AG247" s="285"/>
      <c r="AH247" s="285"/>
      <c r="AI247" s="285"/>
      <c r="AJ247" s="192"/>
    </row>
    <row r="248" spans="1:36" ht="15.75">
      <c r="A248" s="238"/>
      <c r="B248" s="197"/>
      <c r="C248" s="215"/>
      <c r="D248" s="215"/>
      <c r="E248" s="215"/>
      <c r="F248" s="203"/>
      <c r="G248" s="255"/>
      <c r="H248" s="275"/>
      <c r="I248" s="276"/>
      <c r="J248" s="212"/>
      <c r="K248" s="212"/>
      <c r="L248" s="212"/>
      <c r="M248" s="212"/>
      <c r="N248" s="212"/>
      <c r="O248" s="212"/>
      <c r="P248" s="212"/>
      <c r="Q248" s="212"/>
      <c r="R248" s="212"/>
      <c r="S248" s="212"/>
      <c r="T248" s="212"/>
      <c r="U248" s="212"/>
      <c r="V248" s="284"/>
      <c r="W248" s="284"/>
      <c r="X248" s="284"/>
      <c r="Y248" s="284"/>
      <c r="Z248" s="284"/>
      <c r="AA248" s="284"/>
      <c r="AB248" s="284"/>
      <c r="AC248" s="284"/>
      <c r="AD248" s="284"/>
      <c r="AE248" s="284"/>
      <c r="AF248" s="284"/>
      <c r="AG248" s="284"/>
      <c r="AH248" s="284"/>
      <c r="AI248" s="284"/>
      <c r="AJ248" s="192"/>
    </row>
    <row r="249" spans="1:36" ht="15.75">
      <c r="A249" s="238"/>
      <c r="B249" s="197"/>
      <c r="C249" s="215"/>
      <c r="D249" s="215"/>
      <c r="E249" s="215"/>
      <c r="F249" s="203"/>
      <c r="G249" s="255"/>
      <c r="H249" s="275"/>
      <c r="I249" s="276"/>
      <c r="J249" s="212"/>
      <c r="K249" s="212"/>
      <c r="L249" s="212"/>
      <c r="M249" s="212"/>
      <c r="N249" s="212"/>
      <c r="O249" s="212"/>
      <c r="P249" s="212"/>
      <c r="Q249" s="212"/>
      <c r="R249" s="212"/>
      <c r="S249" s="212"/>
      <c r="T249" s="212"/>
      <c r="U249" s="212"/>
      <c r="V249" s="284"/>
      <c r="W249" s="284"/>
      <c r="X249" s="284"/>
      <c r="Y249" s="284"/>
      <c r="Z249" s="284"/>
      <c r="AA249" s="284"/>
      <c r="AB249" s="284"/>
      <c r="AC249" s="284"/>
      <c r="AD249" s="284"/>
      <c r="AE249" s="284"/>
      <c r="AF249" s="284"/>
      <c r="AG249" s="284"/>
      <c r="AH249" s="284"/>
      <c r="AI249" s="284"/>
      <c r="AJ249" s="192"/>
    </row>
    <row r="250" spans="1:36" ht="15.75">
      <c r="A250" s="691" t="s">
        <v>635</v>
      </c>
      <c r="B250" s="692"/>
      <c r="C250" s="215" t="s">
        <v>562</v>
      </c>
      <c r="D250" s="215" t="s">
        <v>562</v>
      </c>
      <c r="E250" s="215" t="s">
        <v>562</v>
      </c>
      <c r="F250" s="203"/>
      <c r="G250" s="255"/>
      <c r="H250" s="275"/>
      <c r="I250" s="276"/>
      <c r="J250" s="212"/>
      <c r="K250" s="212"/>
      <c r="L250" s="212"/>
      <c r="M250" s="212"/>
      <c r="N250" s="212"/>
      <c r="O250" s="212"/>
      <c r="P250" s="212"/>
      <c r="Q250" s="212"/>
      <c r="R250" s="212"/>
      <c r="S250" s="212"/>
      <c r="T250" s="212"/>
      <c r="U250" s="212"/>
      <c r="V250" s="293"/>
      <c r="W250" s="293"/>
      <c r="X250" s="293"/>
      <c r="Y250" s="293"/>
      <c r="Z250" s="293"/>
      <c r="AA250" s="293"/>
      <c r="AB250" s="293"/>
      <c r="AC250" s="293"/>
      <c r="AD250" s="293"/>
      <c r="AE250" s="293"/>
      <c r="AF250" s="293"/>
      <c r="AG250" s="293"/>
      <c r="AH250" s="293"/>
      <c r="AI250" s="293"/>
      <c r="AJ250" s="192"/>
    </row>
    <row r="251" spans="1:10" ht="15.75">
      <c r="A251" s="237"/>
      <c r="B251" s="192"/>
      <c r="C251" s="237"/>
      <c r="D251" s="237"/>
      <c r="E251" s="237"/>
      <c r="F251" s="237"/>
      <c r="G251" s="192"/>
      <c r="H251" s="278"/>
      <c r="I251" s="278"/>
      <c r="J251" s="192"/>
    </row>
    <row r="252" spans="1:11" ht="151.5" customHeight="1">
      <c r="A252" s="683" t="s">
        <v>636</v>
      </c>
      <c r="B252" s="683"/>
      <c r="C252" s="683"/>
      <c r="D252" s="683"/>
      <c r="E252" s="683"/>
      <c r="F252" s="683"/>
      <c r="G252" s="683"/>
      <c r="H252" s="683"/>
      <c r="I252" s="683"/>
      <c r="J252" s="683"/>
      <c r="K252" s="683"/>
    </row>
    <row r="253" spans="1:10" ht="15.75">
      <c r="A253" s="237"/>
      <c r="B253" s="192"/>
      <c r="C253" s="237"/>
      <c r="D253" s="237"/>
      <c r="E253" s="237"/>
      <c r="F253" s="237"/>
      <c r="G253" s="192"/>
      <c r="H253" s="278"/>
      <c r="I253" s="278"/>
      <c r="J253" s="192"/>
    </row>
    <row r="254" spans="1:10" ht="15.75">
      <c r="A254" s="283"/>
      <c r="B254" s="283" t="s">
        <v>637</v>
      </c>
      <c r="C254" s="283"/>
      <c r="D254" s="283"/>
      <c r="E254" s="283"/>
      <c r="F254" s="237"/>
      <c r="G254" s="192"/>
      <c r="H254" s="278"/>
      <c r="I254" s="278"/>
      <c r="J254" s="192"/>
    </row>
    <row r="255" spans="1:10" ht="15.75">
      <c r="A255" s="237"/>
      <c r="B255" s="192"/>
      <c r="C255" s="237"/>
      <c r="D255" s="237"/>
      <c r="E255" s="237"/>
      <c r="F255" s="237"/>
      <c r="G255" s="192"/>
      <c r="H255" s="278"/>
      <c r="I255" s="278"/>
      <c r="J255" s="192"/>
    </row>
    <row r="256" spans="1:10" ht="15.75">
      <c r="A256" s="671" t="s">
        <v>545</v>
      </c>
      <c r="B256" s="686" t="s">
        <v>566</v>
      </c>
      <c r="C256" s="686" t="s">
        <v>638</v>
      </c>
      <c r="D256" s="686" t="s">
        <v>639</v>
      </c>
      <c r="E256" s="667" t="s">
        <v>579</v>
      </c>
      <c r="F256" s="687"/>
      <c r="G256" s="668"/>
      <c r="H256" s="257"/>
      <c r="I256" s="278"/>
      <c r="J256" s="192"/>
    </row>
    <row r="257" spans="1:10" ht="31.5">
      <c r="A257" s="672"/>
      <c r="B257" s="686"/>
      <c r="C257" s="686"/>
      <c r="D257" s="686"/>
      <c r="E257" s="270" t="s">
        <v>640</v>
      </c>
      <c r="F257" s="271" t="s">
        <v>557</v>
      </c>
      <c r="G257" s="236" t="s">
        <v>563</v>
      </c>
      <c r="H257" s="272"/>
      <c r="I257" s="278"/>
      <c r="J257" s="192"/>
    </row>
    <row r="258" spans="1:10" ht="15.75">
      <c r="A258" s="281">
        <v>1</v>
      </c>
      <c r="B258" s="282">
        <v>2</v>
      </c>
      <c r="C258" s="282">
        <v>3</v>
      </c>
      <c r="D258" s="282">
        <v>4</v>
      </c>
      <c r="E258" s="274">
        <v>5</v>
      </c>
      <c r="F258" s="230">
        <v>6</v>
      </c>
      <c r="G258" s="229">
        <v>7</v>
      </c>
      <c r="H258" s="231"/>
      <c r="I258" s="278"/>
      <c r="J258" s="192"/>
    </row>
    <row r="259" spans="1:10" ht="15.75">
      <c r="A259" s="200"/>
      <c r="B259" s="196"/>
      <c r="C259" s="202"/>
      <c r="D259" s="202"/>
      <c r="E259" s="275"/>
      <c r="F259" s="255"/>
      <c r="G259" s="275"/>
      <c r="H259" s="276"/>
      <c r="I259" s="278"/>
      <c r="J259" s="192"/>
    </row>
    <row r="260" spans="1:10" ht="15.75">
      <c r="A260" s="200"/>
      <c r="B260" s="196"/>
      <c r="C260" s="202"/>
      <c r="D260" s="202"/>
      <c r="E260" s="275"/>
      <c r="F260" s="255"/>
      <c r="G260" s="275"/>
      <c r="H260" s="276"/>
      <c r="I260" s="278"/>
      <c r="J260" s="192"/>
    </row>
    <row r="261" spans="1:10" ht="15.75">
      <c r="A261" s="684" t="s">
        <v>561</v>
      </c>
      <c r="B261" s="685"/>
      <c r="C261" s="202" t="s">
        <v>562</v>
      </c>
      <c r="D261" s="202" t="s">
        <v>562</v>
      </c>
      <c r="E261" s="275"/>
      <c r="F261" s="255"/>
      <c r="G261" s="275"/>
      <c r="H261" s="276"/>
      <c r="I261" s="278"/>
      <c r="J261" s="192"/>
    </row>
    <row r="262" spans="1:10" ht="15.75">
      <c r="A262" s="237"/>
      <c r="B262" s="192"/>
      <c r="C262" s="237"/>
      <c r="D262" s="237"/>
      <c r="E262" s="237"/>
      <c r="F262" s="237"/>
      <c r="G262" s="192"/>
      <c r="H262" s="278"/>
      <c r="I262" s="278"/>
      <c r="J262" s="192"/>
    </row>
    <row r="263" spans="1:11" ht="36" customHeight="1">
      <c r="A263" s="693" t="s">
        <v>641</v>
      </c>
      <c r="B263" s="693"/>
      <c r="C263" s="693"/>
      <c r="D263" s="693"/>
      <c r="E263" s="693"/>
      <c r="F263" s="693"/>
      <c r="G263" s="693"/>
      <c r="H263" s="693"/>
      <c r="I263" s="693"/>
      <c r="J263" s="693"/>
      <c r="K263" s="693"/>
    </row>
    <row r="264" spans="1:10" ht="15.75">
      <c r="A264" s="237"/>
      <c r="B264" s="192"/>
      <c r="C264" s="237"/>
      <c r="D264" s="237"/>
      <c r="E264" s="237"/>
      <c r="F264" s="237"/>
      <c r="G264" s="192"/>
      <c r="H264" s="278"/>
      <c r="I264" s="278"/>
      <c r="J264" s="192"/>
    </row>
    <row r="265" spans="1:10" ht="15.75">
      <c r="A265" s="283"/>
      <c r="B265" s="283" t="s">
        <v>642</v>
      </c>
      <c r="C265" s="283"/>
      <c r="D265" s="283"/>
      <c r="E265" s="283"/>
      <c r="F265" s="283"/>
      <c r="G265" s="192"/>
      <c r="H265" s="278"/>
      <c r="I265" s="278"/>
      <c r="J265" s="192"/>
    </row>
    <row r="266" spans="1:10" ht="15.75">
      <c r="A266" s="237"/>
      <c r="B266" s="192"/>
      <c r="C266" s="237"/>
      <c r="D266" s="237"/>
      <c r="E266" s="237"/>
      <c r="F266" s="237"/>
      <c r="G266" s="192"/>
      <c r="H266" s="278"/>
      <c r="I266" s="278"/>
      <c r="J266" s="192"/>
    </row>
    <row r="267" spans="1:10" ht="15.75" customHeight="1">
      <c r="A267" s="671" t="s">
        <v>545</v>
      </c>
      <c r="B267" s="686" t="s">
        <v>1</v>
      </c>
      <c r="C267" s="686" t="s">
        <v>643</v>
      </c>
      <c r="D267" s="686" t="s">
        <v>644</v>
      </c>
      <c r="E267" s="686" t="s">
        <v>645</v>
      </c>
      <c r="F267" s="667" t="s">
        <v>579</v>
      </c>
      <c r="G267" s="687"/>
      <c r="H267" s="668"/>
      <c r="I267" s="257"/>
      <c r="J267" s="192"/>
    </row>
    <row r="268" spans="1:10" ht="47.25">
      <c r="A268" s="672"/>
      <c r="B268" s="686"/>
      <c r="C268" s="686"/>
      <c r="D268" s="686"/>
      <c r="E268" s="686"/>
      <c r="F268" s="269" t="s">
        <v>632</v>
      </c>
      <c r="G268" s="236" t="s">
        <v>557</v>
      </c>
      <c r="H268" s="236" t="s">
        <v>563</v>
      </c>
      <c r="I268" s="272"/>
      <c r="J268" s="192"/>
    </row>
    <row r="269" spans="1:10" ht="15.75">
      <c r="A269" s="201">
        <v>1</v>
      </c>
      <c r="B269" s="201">
        <v>2</v>
      </c>
      <c r="C269" s="201">
        <v>3</v>
      </c>
      <c r="D269" s="201">
        <v>4</v>
      </c>
      <c r="E269" s="201">
        <v>5</v>
      </c>
      <c r="F269" s="204">
        <v>6</v>
      </c>
      <c r="G269" s="229">
        <v>7</v>
      </c>
      <c r="H269" s="229">
        <v>8</v>
      </c>
      <c r="I269" s="231"/>
      <c r="J269" s="192"/>
    </row>
    <row r="270" spans="1:10" ht="15.75">
      <c r="A270" s="238"/>
      <c r="B270" s="197"/>
      <c r="C270" s="215"/>
      <c r="D270" s="215"/>
      <c r="E270" s="215"/>
      <c r="F270" s="203"/>
      <c r="G270" s="275"/>
      <c r="H270" s="275"/>
      <c r="I270" s="276"/>
      <c r="J270" s="192"/>
    </row>
    <row r="271" spans="1:10" ht="15.75">
      <c r="A271" s="238"/>
      <c r="B271" s="197"/>
      <c r="C271" s="215"/>
      <c r="D271" s="215"/>
      <c r="E271" s="215"/>
      <c r="F271" s="203"/>
      <c r="G271" s="275"/>
      <c r="H271" s="275"/>
      <c r="I271" s="276"/>
      <c r="J271" s="192"/>
    </row>
    <row r="272" spans="1:10" ht="15.75">
      <c r="A272" s="691" t="s">
        <v>635</v>
      </c>
      <c r="B272" s="692"/>
      <c r="C272" s="215" t="s">
        <v>562</v>
      </c>
      <c r="D272" s="215" t="s">
        <v>562</v>
      </c>
      <c r="E272" s="215" t="s">
        <v>562</v>
      </c>
      <c r="F272" s="203"/>
      <c r="G272" s="275"/>
      <c r="H272" s="275"/>
      <c r="I272" s="276"/>
      <c r="J272" s="192"/>
    </row>
    <row r="273" spans="1:10" ht="15.75">
      <c r="A273" s="237"/>
      <c r="B273" s="192"/>
      <c r="C273" s="237"/>
      <c r="D273" s="237"/>
      <c r="E273" s="237"/>
      <c r="F273" s="237"/>
      <c r="G273" s="192"/>
      <c r="H273" s="278"/>
      <c r="I273" s="278"/>
      <c r="J273" s="192"/>
    </row>
    <row r="274" spans="1:11" ht="66.75" customHeight="1">
      <c r="A274" s="683" t="s">
        <v>649</v>
      </c>
      <c r="B274" s="693"/>
      <c r="C274" s="693"/>
      <c r="D274" s="693"/>
      <c r="E274" s="693"/>
      <c r="F274" s="693"/>
      <c r="G274" s="693"/>
      <c r="H274" s="693"/>
      <c r="I274" s="693"/>
      <c r="J274" s="693"/>
      <c r="K274" s="693"/>
    </row>
    <row r="275" spans="1:10" ht="15.75">
      <c r="A275" s="237"/>
      <c r="B275" s="192"/>
      <c r="C275" s="237"/>
      <c r="D275" s="237"/>
      <c r="E275" s="237"/>
      <c r="F275" s="237"/>
      <c r="G275" s="192"/>
      <c r="H275" s="278"/>
      <c r="I275" s="278"/>
      <c r="J275" s="192"/>
    </row>
    <row r="276" spans="1:10" ht="15.75">
      <c r="A276" s="283"/>
      <c r="B276" s="283" t="s">
        <v>650</v>
      </c>
      <c r="C276" s="283"/>
      <c r="D276" s="283"/>
      <c r="E276" s="283"/>
      <c r="F276" s="237"/>
      <c r="G276" s="192"/>
      <c r="H276" s="278"/>
      <c r="I276" s="278"/>
      <c r="J276" s="192"/>
    </row>
    <row r="277" spans="1:10" ht="15.75">
      <c r="A277" s="237"/>
      <c r="B277" s="192"/>
      <c r="C277" s="237"/>
      <c r="D277" s="237"/>
      <c r="E277" s="237"/>
      <c r="F277" s="237"/>
      <c r="G277" s="192"/>
      <c r="H277" s="278"/>
      <c r="I277" s="278"/>
      <c r="J277" s="192"/>
    </row>
    <row r="278" spans="1:10" ht="15.75">
      <c r="A278" s="671" t="s">
        <v>545</v>
      </c>
      <c r="B278" s="686" t="s">
        <v>1</v>
      </c>
      <c r="C278" s="686" t="s">
        <v>651</v>
      </c>
      <c r="D278" s="686" t="s">
        <v>652</v>
      </c>
      <c r="E278" s="667" t="s">
        <v>579</v>
      </c>
      <c r="F278" s="687"/>
      <c r="G278" s="668"/>
      <c r="H278" s="257"/>
      <c r="I278" s="278"/>
      <c r="J278" s="192"/>
    </row>
    <row r="279" spans="1:10" ht="47.25">
      <c r="A279" s="672"/>
      <c r="B279" s="686"/>
      <c r="C279" s="686"/>
      <c r="D279" s="686"/>
      <c r="E279" s="270" t="s">
        <v>653</v>
      </c>
      <c r="F279" s="271" t="s">
        <v>557</v>
      </c>
      <c r="G279" s="236" t="s">
        <v>563</v>
      </c>
      <c r="H279" s="272"/>
      <c r="I279" s="278"/>
      <c r="J279" s="192"/>
    </row>
    <row r="280" spans="1:10" ht="15.75">
      <c r="A280" s="281">
        <v>1</v>
      </c>
      <c r="B280" s="282">
        <v>2</v>
      </c>
      <c r="C280" s="282">
        <v>3</v>
      </c>
      <c r="D280" s="282">
        <v>4</v>
      </c>
      <c r="E280" s="274">
        <v>5</v>
      </c>
      <c r="F280" s="230">
        <v>5</v>
      </c>
      <c r="G280" s="229">
        <v>6</v>
      </c>
      <c r="H280" s="231"/>
      <c r="I280" s="278"/>
      <c r="J280" s="192"/>
    </row>
    <row r="281" spans="1:10" ht="15.75">
      <c r="A281" s="200"/>
      <c r="B281" s="196"/>
      <c r="C281" s="202"/>
      <c r="D281" s="202"/>
      <c r="E281" s="275"/>
      <c r="F281" s="255"/>
      <c r="G281" s="275"/>
      <c r="H281" s="276"/>
      <c r="I281" s="278"/>
      <c r="J281" s="192"/>
    </row>
    <row r="282" spans="1:10" ht="15.75">
      <c r="A282" s="200"/>
      <c r="B282" s="196"/>
      <c r="C282" s="202"/>
      <c r="D282" s="202"/>
      <c r="E282" s="275"/>
      <c r="F282" s="255"/>
      <c r="G282" s="275"/>
      <c r="H282" s="276"/>
      <c r="I282" s="278"/>
      <c r="J282" s="192"/>
    </row>
    <row r="283" spans="1:10" ht="15.75">
      <c r="A283" s="684" t="s">
        <v>561</v>
      </c>
      <c r="B283" s="685"/>
      <c r="C283" s="202" t="s">
        <v>562</v>
      </c>
      <c r="D283" s="202" t="s">
        <v>562</v>
      </c>
      <c r="E283" s="275" t="s">
        <v>562</v>
      </c>
      <c r="F283" s="255"/>
      <c r="G283" s="275"/>
      <c r="H283" s="276"/>
      <c r="I283" s="278"/>
      <c r="J283" s="192"/>
    </row>
    <row r="284" spans="1:10" ht="15.75">
      <c r="A284" s="237"/>
      <c r="B284" s="192"/>
      <c r="C284" s="237"/>
      <c r="D284" s="237"/>
      <c r="E284" s="237"/>
      <c r="F284" s="237"/>
      <c r="G284" s="192"/>
      <c r="H284" s="278"/>
      <c r="I284" s="278"/>
      <c r="J284" s="192"/>
    </row>
    <row r="285" spans="1:11" ht="48" customHeight="1">
      <c r="A285" s="690" t="s">
        <v>654</v>
      </c>
      <c r="B285" s="690"/>
      <c r="C285" s="690"/>
      <c r="D285" s="690"/>
      <c r="E285" s="690"/>
      <c r="F285" s="690"/>
      <c r="G285" s="690"/>
      <c r="H285" s="690"/>
      <c r="I285" s="690"/>
      <c r="J285" s="690"/>
      <c r="K285" s="690"/>
    </row>
    <row r="286" spans="1:10" ht="15.75">
      <c r="A286" s="237"/>
      <c r="B286" s="192"/>
      <c r="C286" s="237"/>
      <c r="D286" s="237"/>
      <c r="E286" s="237"/>
      <c r="F286" s="237"/>
      <c r="G286" s="192"/>
      <c r="H286" s="278"/>
      <c r="I286" s="278"/>
      <c r="J286" s="192"/>
    </row>
    <row r="287" spans="1:10" ht="15.75">
      <c r="A287" s="283"/>
      <c r="B287" s="283" t="s">
        <v>655</v>
      </c>
      <c r="C287" s="283"/>
      <c r="D287" s="283"/>
      <c r="E287" s="283"/>
      <c r="F287" s="283"/>
      <c r="G287" s="192"/>
      <c r="H287" s="278"/>
      <c r="I287" s="278"/>
      <c r="J287" s="192"/>
    </row>
    <row r="288" spans="1:10" ht="15.75">
      <c r="A288" s="237"/>
      <c r="B288" s="192"/>
      <c r="C288" s="237"/>
      <c r="D288" s="237"/>
      <c r="E288" s="237"/>
      <c r="F288" s="237"/>
      <c r="G288" s="192"/>
      <c r="H288" s="278"/>
      <c r="I288" s="278"/>
      <c r="J288" s="192"/>
    </row>
    <row r="289" spans="1:10" ht="15.75">
      <c r="A289" s="671" t="s">
        <v>545</v>
      </c>
      <c r="B289" s="686" t="s">
        <v>566</v>
      </c>
      <c r="C289" s="686" t="s">
        <v>656</v>
      </c>
      <c r="D289" s="686" t="s">
        <v>657</v>
      </c>
      <c r="E289" s="667" t="s">
        <v>579</v>
      </c>
      <c r="F289" s="687"/>
      <c r="G289" s="668"/>
      <c r="H289" s="257"/>
      <c r="I289" s="278"/>
      <c r="J289" s="192"/>
    </row>
    <row r="290" spans="1:10" ht="47.25">
      <c r="A290" s="672"/>
      <c r="B290" s="686"/>
      <c r="C290" s="686"/>
      <c r="D290" s="686"/>
      <c r="E290" s="270" t="s">
        <v>658</v>
      </c>
      <c r="F290" s="271" t="s">
        <v>557</v>
      </c>
      <c r="G290" s="236" t="s">
        <v>563</v>
      </c>
      <c r="H290" s="272"/>
      <c r="I290" s="278"/>
      <c r="J290" s="192"/>
    </row>
    <row r="291" spans="1:10" ht="15.75">
      <c r="A291" s="281">
        <v>1</v>
      </c>
      <c r="B291" s="282">
        <v>2</v>
      </c>
      <c r="C291" s="282">
        <v>3</v>
      </c>
      <c r="D291" s="282">
        <v>4</v>
      </c>
      <c r="E291" s="274">
        <v>5</v>
      </c>
      <c r="F291" s="230">
        <v>5</v>
      </c>
      <c r="G291" s="229">
        <v>6</v>
      </c>
      <c r="H291" s="231"/>
      <c r="I291" s="278"/>
      <c r="J291" s="192"/>
    </row>
    <row r="292" spans="1:10" ht="15.75">
      <c r="A292" s="200"/>
      <c r="B292" s="196"/>
      <c r="C292" s="202"/>
      <c r="D292" s="202"/>
      <c r="E292" s="275"/>
      <c r="F292" s="255"/>
      <c r="G292" s="275"/>
      <c r="H292" s="276"/>
      <c r="I292" s="278"/>
      <c r="J292" s="192"/>
    </row>
    <row r="293" spans="1:10" ht="15.75">
      <c r="A293" s="200"/>
      <c r="B293" s="196"/>
      <c r="C293" s="202"/>
      <c r="D293" s="202"/>
      <c r="E293" s="275"/>
      <c r="F293" s="255"/>
      <c r="G293" s="275"/>
      <c r="H293" s="276"/>
      <c r="I293" s="278"/>
      <c r="J293" s="192"/>
    </row>
    <row r="294" spans="1:10" ht="15.75">
      <c r="A294" s="684" t="s">
        <v>561</v>
      </c>
      <c r="B294" s="685"/>
      <c r="C294" s="202" t="s">
        <v>562</v>
      </c>
      <c r="D294" s="202" t="s">
        <v>562</v>
      </c>
      <c r="E294" s="275"/>
      <c r="F294" s="255"/>
      <c r="G294" s="275"/>
      <c r="H294" s="276"/>
      <c r="I294" s="278"/>
      <c r="J294" s="192"/>
    </row>
    <row r="295" spans="1:10" ht="15.75">
      <c r="A295" s="237"/>
      <c r="B295" s="192"/>
      <c r="C295" s="237"/>
      <c r="D295" s="237"/>
      <c r="E295" s="237"/>
      <c r="F295" s="237"/>
      <c r="G295" s="192"/>
      <c r="H295" s="278"/>
      <c r="I295" s="278"/>
      <c r="J295" s="192"/>
    </row>
    <row r="296" spans="1:11" ht="53.25" customHeight="1">
      <c r="A296" s="683" t="s">
        <v>671</v>
      </c>
      <c r="B296" s="683"/>
      <c r="C296" s="683"/>
      <c r="D296" s="683"/>
      <c r="E296" s="683"/>
      <c r="F296" s="683"/>
      <c r="G296" s="683"/>
      <c r="H296" s="683"/>
      <c r="I296" s="683"/>
      <c r="J296" s="683"/>
      <c r="K296" s="683"/>
    </row>
    <row r="297" spans="1:10" ht="15.75">
      <c r="A297" s="237"/>
      <c r="B297" s="192"/>
      <c r="C297" s="237"/>
      <c r="D297" s="237"/>
      <c r="E297" s="237"/>
      <c r="F297" s="237"/>
      <c r="G297" s="192"/>
      <c r="H297" s="278"/>
      <c r="I297" s="278"/>
      <c r="J297" s="192"/>
    </row>
    <row r="298" spans="1:10" ht="15.75">
      <c r="A298" s="283"/>
      <c r="B298" s="283" t="s">
        <v>672</v>
      </c>
      <c r="C298" s="283"/>
      <c r="D298" s="283"/>
      <c r="E298" s="283"/>
      <c r="F298" s="237"/>
      <c r="G298" s="192"/>
      <c r="H298" s="278"/>
      <c r="I298" s="278"/>
      <c r="J298" s="192"/>
    </row>
    <row r="299" spans="1:10" ht="15.75">
      <c r="A299" s="237"/>
      <c r="B299" s="192"/>
      <c r="C299" s="237"/>
      <c r="D299" s="237"/>
      <c r="E299" s="237"/>
      <c r="F299" s="237"/>
      <c r="G299" s="192"/>
      <c r="H299" s="278"/>
      <c r="I299" s="278"/>
      <c r="J299" s="192"/>
    </row>
    <row r="300" spans="1:10" ht="15.75">
      <c r="A300" s="671" t="s">
        <v>545</v>
      </c>
      <c r="B300" s="686" t="s">
        <v>1</v>
      </c>
      <c r="C300" s="686" t="s">
        <v>673</v>
      </c>
      <c r="D300" s="667" t="s">
        <v>579</v>
      </c>
      <c r="E300" s="687"/>
      <c r="F300" s="668"/>
      <c r="G300" s="257"/>
      <c r="H300" s="278"/>
      <c r="I300" s="278"/>
      <c r="J300" s="192"/>
    </row>
    <row r="301" spans="1:10" ht="31.5">
      <c r="A301" s="672"/>
      <c r="B301" s="686"/>
      <c r="C301" s="686"/>
      <c r="D301" s="270" t="s">
        <v>674</v>
      </c>
      <c r="E301" s="236" t="s">
        <v>557</v>
      </c>
      <c r="F301" s="236" t="s">
        <v>563</v>
      </c>
      <c r="G301" s="272"/>
      <c r="H301" s="278"/>
      <c r="I301" s="278"/>
      <c r="J301" s="192"/>
    </row>
    <row r="302" spans="1:10" ht="15.75">
      <c r="A302" s="281">
        <v>1</v>
      </c>
      <c r="B302" s="282">
        <v>2</v>
      </c>
      <c r="C302" s="282">
        <v>3</v>
      </c>
      <c r="D302" s="274">
        <v>5</v>
      </c>
      <c r="E302" s="229">
        <v>5</v>
      </c>
      <c r="F302" s="229">
        <v>6</v>
      </c>
      <c r="G302" s="231"/>
      <c r="H302" s="278"/>
      <c r="I302" s="278"/>
      <c r="J302" s="192"/>
    </row>
    <row r="303" spans="1:10" ht="15.75">
      <c r="A303" s="200">
        <v>1</v>
      </c>
      <c r="B303" s="196" t="s">
        <v>817</v>
      </c>
      <c r="C303" s="202"/>
      <c r="D303" s="265">
        <f>F303</f>
        <v>11215.3</v>
      </c>
      <c r="E303" s="265"/>
      <c r="F303" s="265">
        <v>11215.3</v>
      </c>
      <c r="G303" s="276"/>
      <c r="H303" s="278"/>
      <c r="I303" s="278"/>
      <c r="J303" s="192"/>
    </row>
    <row r="304" spans="1:10" ht="15.75">
      <c r="A304" s="200">
        <v>2</v>
      </c>
      <c r="B304" s="196" t="s">
        <v>919</v>
      </c>
      <c r="C304" s="202"/>
      <c r="D304" s="265">
        <f>F304</f>
        <v>112000</v>
      </c>
      <c r="E304" s="265"/>
      <c r="F304" s="265">
        <f>2*56000</f>
        <v>112000</v>
      </c>
      <c r="G304" s="276"/>
      <c r="H304" s="278"/>
      <c r="I304" s="278"/>
      <c r="J304" s="192"/>
    </row>
    <row r="305" spans="1:10" ht="15.75">
      <c r="A305" s="200">
        <v>3</v>
      </c>
      <c r="B305" s="565" t="s">
        <v>959</v>
      </c>
      <c r="C305" s="202"/>
      <c r="D305" s="265">
        <f>F305</f>
        <v>10000</v>
      </c>
      <c r="E305" s="265"/>
      <c r="F305" s="265">
        <v>10000</v>
      </c>
      <c r="G305" s="276"/>
      <c r="H305" s="278"/>
      <c r="I305" s="278"/>
      <c r="J305" s="192"/>
    </row>
    <row r="306" spans="1:10" ht="15.75">
      <c r="A306" s="684" t="s">
        <v>561</v>
      </c>
      <c r="B306" s="685"/>
      <c r="C306" s="202" t="s">
        <v>562</v>
      </c>
      <c r="D306" s="265">
        <f>D303+D304+D305</f>
        <v>133215.3</v>
      </c>
      <c r="E306" s="265"/>
      <c r="F306" s="265">
        <f>F303+F304+F305</f>
        <v>133215.3</v>
      </c>
      <c r="G306" s="276"/>
      <c r="H306" s="278"/>
      <c r="I306" s="278"/>
      <c r="J306" s="192"/>
    </row>
    <row r="307" spans="1:10" ht="15.75">
      <c r="A307" s="237"/>
      <c r="B307" s="192"/>
      <c r="C307" s="237"/>
      <c r="D307" s="237"/>
      <c r="E307" s="237"/>
      <c r="F307" s="237"/>
      <c r="G307" s="192"/>
      <c r="H307" s="278"/>
      <c r="I307" s="278"/>
      <c r="J307" s="192"/>
    </row>
    <row r="308" spans="1:10" ht="15.75" hidden="1">
      <c r="A308" s="283"/>
      <c r="B308" s="283" t="s">
        <v>891</v>
      </c>
      <c r="C308" s="283"/>
      <c r="D308" s="283"/>
      <c r="E308" s="283"/>
      <c r="F308" s="237"/>
      <c r="G308" s="192"/>
      <c r="H308" s="278"/>
      <c r="I308" s="278"/>
      <c r="J308" s="192"/>
    </row>
    <row r="309" spans="1:10" ht="15.75" hidden="1">
      <c r="A309" s="237"/>
      <c r="B309" s="192"/>
      <c r="C309" s="237"/>
      <c r="D309" s="237"/>
      <c r="E309" s="237"/>
      <c r="F309" s="237"/>
      <c r="G309" s="192"/>
      <c r="H309" s="278"/>
      <c r="I309" s="278"/>
      <c r="J309" s="192"/>
    </row>
    <row r="310" spans="1:10" ht="15.75" hidden="1">
      <c r="A310" s="671" t="s">
        <v>545</v>
      </c>
      <c r="B310" s="686" t="s">
        <v>1</v>
      </c>
      <c r="C310" s="686" t="s">
        <v>673</v>
      </c>
      <c r="D310" s="667" t="s">
        <v>579</v>
      </c>
      <c r="E310" s="687"/>
      <c r="F310" s="668"/>
      <c r="G310" s="257"/>
      <c r="H310" s="278"/>
      <c r="I310" s="278"/>
      <c r="J310" s="192"/>
    </row>
    <row r="311" spans="1:10" ht="31.5" hidden="1">
      <c r="A311" s="672"/>
      <c r="B311" s="686"/>
      <c r="C311" s="686"/>
      <c r="D311" s="270" t="s">
        <v>674</v>
      </c>
      <c r="E311" s="236" t="s">
        <v>557</v>
      </c>
      <c r="F311" s="236" t="s">
        <v>563</v>
      </c>
      <c r="G311" s="272"/>
      <c r="H311" s="278"/>
      <c r="I311" s="278"/>
      <c r="J311" s="192"/>
    </row>
    <row r="312" spans="1:10" ht="15.75" hidden="1">
      <c r="A312" s="281">
        <v>1</v>
      </c>
      <c r="B312" s="282">
        <v>2</v>
      </c>
      <c r="C312" s="282">
        <v>3</v>
      </c>
      <c r="D312" s="274">
        <v>5</v>
      </c>
      <c r="E312" s="229">
        <v>5</v>
      </c>
      <c r="F312" s="229">
        <v>6</v>
      </c>
      <c r="G312" s="231"/>
      <c r="H312" s="278"/>
      <c r="I312" s="278"/>
      <c r="J312" s="192"/>
    </row>
    <row r="313" spans="1:10" ht="15.75" hidden="1">
      <c r="A313" s="200">
        <v>1</v>
      </c>
      <c r="B313" s="196" t="s">
        <v>920</v>
      </c>
      <c r="C313" s="202">
        <v>2</v>
      </c>
      <c r="D313" s="275">
        <v>56000</v>
      </c>
      <c r="E313" s="275">
        <v>0</v>
      </c>
      <c r="F313" s="275"/>
      <c r="G313" s="276"/>
      <c r="H313" s="278"/>
      <c r="I313" s="278"/>
      <c r="J313" s="192"/>
    </row>
    <row r="314" spans="1:10" ht="15.75" hidden="1">
      <c r="A314" s="684" t="s">
        <v>561</v>
      </c>
      <c r="B314" s="685"/>
      <c r="C314" s="202" t="s">
        <v>562</v>
      </c>
      <c r="D314" s="275">
        <f>SUM(D313)</f>
        <v>56000</v>
      </c>
      <c r="E314" s="275">
        <v>0</v>
      </c>
      <c r="F314" s="275">
        <f>SUM(F313)</f>
        <v>0</v>
      </c>
      <c r="G314" s="276"/>
      <c r="H314" s="278"/>
      <c r="I314" s="278"/>
      <c r="J314" s="192"/>
    </row>
    <row r="315" spans="1:10" ht="15.75" hidden="1">
      <c r="A315" s="237"/>
      <c r="B315" s="192"/>
      <c r="C315" s="237"/>
      <c r="D315" s="237"/>
      <c r="E315" s="237"/>
      <c r="F315" s="237"/>
      <c r="G315" s="192"/>
      <c r="H315" s="278"/>
      <c r="I315" s="278"/>
      <c r="J315" s="192"/>
    </row>
    <row r="316" spans="1:10" ht="15.75">
      <c r="A316" s="237"/>
      <c r="B316" s="192"/>
      <c r="C316" s="237"/>
      <c r="D316" s="237"/>
      <c r="E316" s="237"/>
      <c r="F316" s="237"/>
      <c r="G316" s="192"/>
      <c r="H316" s="278"/>
      <c r="I316" s="278"/>
      <c r="J316" s="192"/>
    </row>
    <row r="317" spans="1:11" ht="149.25" customHeight="1">
      <c r="A317" s="683" t="s">
        <v>679</v>
      </c>
      <c r="B317" s="683"/>
      <c r="C317" s="683"/>
      <c r="D317" s="683"/>
      <c r="E317" s="683"/>
      <c r="F317" s="683"/>
      <c r="G317" s="683"/>
      <c r="H317" s="683"/>
      <c r="I317" s="683"/>
      <c r="J317" s="683"/>
      <c r="K317" s="683"/>
    </row>
    <row r="318" spans="1:10" ht="15.75">
      <c r="A318" s="237"/>
      <c r="B318" s="192"/>
      <c r="C318" s="237"/>
      <c r="D318" s="237"/>
      <c r="E318" s="237"/>
      <c r="F318" s="237"/>
      <c r="G318" s="192"/>
      <c r="H318" s="278"/>
      <c r="I318" s="278"/>
      <c r="J318" s="192"/>
    </row>
    <row r="319" spans="1:4" ht="15.75">
      <c r="A319" s="194"/>
      <c r="B319" s="194" t="s">
        <v>680</v>
      </c>
      <c r="C319" s="194"/>
      <c r="D319" s="194"/>
    </row>
    <row r="320" ht="15.75">
      <c r="B320" s="186"/>
    </row>
    <row r="321" spans="1:10" ht="25.5" customHeight="1">
      <c r="A321" s="671" t="s">
        <v>545</v>
      </c>
      <c r="B321" s="671" t="s">
        <v>566</v>
      </c>
      <c r="C321" s="673"/>
      <c r="D321" s="675" t="s">
        <v>651</v>
      </c>
      <c r="E321" s="677" t="s">
        <v>681</v>
      </c>
      <c r="F321" s="653" t="s">
        <v>579</v>
      </c>
      <c r="G321" s="653"/>
      <c r="H321" s="653"/>
      <c r="I321" s="309"/>
      <c r="J321" s="226"/>
    </row>
    <row r="322" spans="1:10" ht="54.75" customHeight="1">
      <c r="A322" s="672"/>
      <c r="B322" s="672"/>
      <c r="C322" s="674"/>
      <c r="D322" s="676"/>
      <c r="E322" s="678"/>
      <c r="F322" s="227" t="s">
        <v>682</v>
      </c>
      <c r="G322" s="227" t="s">
        <v>557</v>
      </c>
      <c r="H322" s="227" t="s">
        <v>563</v>
      </c>
      <c r="I322" s="192"/>
      <c r="J322" s="228"/>
    </row>
    <row r="323" spans="1:10" ht="15.75" customHeight="1">
      <c r="A323" s="232">
        <v>1</v>
      </c>
      <c r="B323" s="654">
        <v>2</v>
      </c>
      <c r="C323" s="655"/>
      <c r="D323" s="232">
        <v>3</v>
      </c>
      <c r="E323" s="232">
        <v>4</v>
      </c>
      <c r="F323" s="232">
        <v>5</v>
      </c>
      <c r="G323" s="232">
        <v>6</v>
      </c>
      <c r="H323" s="232">
        <v>7</v>
      </c>
      <c r="I323" s="278"/>
      <c r="J323" s="278"/>
    </row>
    <row r="324" spans="1:10" ht="15.75">
      <c r="A324" s="206"/>
      <c r="B324" s="667"/>
      <c r="C324" s="668"/>
      <c r="D324" s="206"/>
      <c r="E324" s="206"/>
      <c r="F324" s="206"/>
      <c r="G324" s="232"/>
      <c r="H324" s="232"/>
      <c r="I324" s="278"/>
      <c r="J324" s="192"/>
    </row>
    <row r="325" spans="1:10" ht="15.75">
      <c r="A325" s="206"/>
      <c r="B325" s="667"/>
      <c r="C325" s="668"/>
      <c r="D325" s="206"/>
      <c r="E325" s="206"/>
      <c r="F325" s="206"/>
      <c r="G325" s="206"/>
      <c r="H325" s="232"/>
      <c r="I325" s="278"/>
      <c r="J325" s="192"/>
    </row>
    <row r="326" spans="1:10" ht="15.75">
      <c r="A326" s="650" t="s">
        <v>571</v>
      </c>
      <c r="B326" s="651"/>
      <c r="C326" s="652"/>
      <c r="D326" s="200"/>
      <c r="E326" s="200" t="s">
        <v>562</v>
      </c>
      <c r="F326" s="200"/>
      <c r="G326" s="206"/>
      <c r="H326" s="206"/>
      <c r="I326" s="192"/>
      <c r="J326" s="192"/>
    </row>
    <row r="327" ht="15.75">
      <c r="B327" s="186"/>
    </row>
    <row r="328" spans="1:4" ht="15.75">
      <c r="A328" s="194"/>
      <c r="B328" s="194" t="s">
        <v>686</v>
      </c>
      <c r="C328" s="194"/>
      <c r="D328" s="194"/>
    </row>
    <row r="329" ht="15.75">
      <c r="B329" s="186"/>
    </row>
    <row r="330" spans="1:10" ht="25.5" customHeight="1">
      <c r="A330" s="671" t="s">
        <v>545</v>
      </c>
      <c r="B330" s="671" t="s">
        <v>566</v>
      </c>
      <c r="C330" s="673"/>
      <c r="D330" s="675" t="s">
        <v>651</v>
      </c>
      <c r="E330" s="677" t="s">
        <v>681</v>
      </c>
      <c r="F330" s="653" t="s">
        <v>579</v>
      </c>
      <c r="G330" s="653"/>
      <c r="H330" s="653"/>
      <c r="I330" s="309"/>
      <c r="J330" s="226"/>
    </row>
    <row r="331" spans="1:10" ht="54.75" customHeight="1">
      <c r="A331" s="672"/>
      <c r="B331" s="672"/>
      <c r="C331" s="674"/>
      <c r="D331" s="676"/>
      <c r="E331" s="678"/>
      <c r="F331" s="227" t="s">
        <v>682</v>
      </c>
      <c r="G331" s="227" t="s">
        <v>557</v>
      </c>
      <c r="H331" s="227" t="s">
        <v>563</v>
      </c>
      <c r="I331" s="192"/>
      <c r="J331" s="228"/>
    </row>
    <row r="332" spans="1:10" ht="15.75" customHeight="1">
      <c r="A332" s="232">
        <v>1</v>
      </c>
      <c r="B332" s="654">
        <v>2</v>
      </c>
      <c r="C332" s="655"/>
      <c r="D332" s="232">
        <v>3</v>
      </c>
      <c r="E332" s="232">
        <v>4</v>
      </c>
      <c r="F332" s="232">
        <v>5</v>
      </c>
      <c r="G332" s="232">
        <v>6</v>
      </c>
      <c r="H332" s="232">
        <v>7</v>
      </c>
      <c r="I332" s="278"/>
      <c r="J332" s="278"/>
    </row>
    <row r="333" spans="1:10" ht="15.75">
      <c r="A333" s="200">
        <v>1</v>
      </c>
      <c r="B333" s="667" t="s">
        <v>820</v>
      </c>
      <c r="C333" s="668"/>
      <c r="D333" s="206"/>
      <c r="E333" s="206"/>
      <c r="F333" s="265">
        <f>H333</f>
        <v>7042.14</v>
      </c>
      <c r="G333" s="355"/>
      <c r="H333" s="355">
        <v>7042.14</v>
      </c>
      <c r="I333" s="278"/>
      <c r="J333" s="192"/>
    </row>
    <row r="334" spans="1:10" ht="15.75">
      <c r="A334" s="200">
        <v>2</v>
      </c>
      <c r="B334" s="667" t="s">
        <v>818</v>
      </c>
      <c r="C334" s="668"/>
      <c r="D334" s="206"/>
      <c r="E334" s="206"/>
      <c r="F334" s="265">
        <f>H334</f>
        <v>1440</v>
      </c>
      <c r="G334" s="265"/>
      <c r="H334" s="355">
        <v>1440</v>
      </c>
      <c r="I334" s="278"/>
      <c r="J334" s="192"/>
    </row>
    <row r="335" spans="1:10" ht="15.75">
      <c r="A335" s="235">
        <v>3</v>
      </c>
      <c r="B335" s="667" t="s">
        <v>819</v>
      </c>
      <c r="C335" s="668"/>
      <c r="D335" s="206"/>
      <c r="E335" s="206"/>
      <c r="F335" s="265">
        <f>H335</f>
        <v>12915</v>
      </c>
      <c r="G335" s="265"/>
      <c r="H335" s="355">
        <v>12915</v>
      </c>
      <c r="I335" s="278"/>
      <c r="J335" s="192"/>
    </row>
    <row r="336" spans="1:10" ht="15.75">
      <c r="A336" s="650" t="s">
        <v>571</v>
      </c>
      <c r="B336" s="651"/>
      <c r="C336" s="652"/>
      <c r="D336" s="200"/>
      <c r="E336" s="200" t="s">
        <v>562</v>
      </c>
      <c r="F336" s="265">
        <f>F335+F334+F333</f>
        <v>21397.14</v>
      </c>
      <c r="G336" s="265"/>
      <c r="H336" s="265">
        <f>H335+H334+H333</f>
        <v>21397.14</v>
      </c>
      <c r="I336" s="192"/>
      <c r="J336" s="192"/>
    </row>
    <row r="337" spans="1:10" ht="15.75">
      <c r="A337" s="243"/>
      <c r="B337" s="243"/>
      <c r="C337" s="243"/>
      <c r="D337" s="237"/>
      <c r="E337" s="237"/>
      <c r="F337" s="365"/>
      <c r="G337" s="365"/>
      <c r="H337" s="365"/>
      <c r="I337" s="192"/>
      <c r="J337" s="192"/>
    </row>
    <row r="338" spans="1:4" ht="15.75">
      <c r="A338" s="194"/>
      <c r="B338" s="194" t="s">
        <v>943</v>
      </c>
      <c r="C338" s="194"/>
      <c r="D338" s="194"/>
    </row>
    <row r="339" ht="15.75">
      <c r="B339" s="186"/>
    </row>
    <row r="340" spans="1:10" ht="15.75">
      <c r="A340" s="671" t="s">
        <v>545</v>
      </c>
      <c r="B340" s="671" t="s">
        <v>566</v>
      </c>
      <c r="C340" s="673"/>
      <c r="D340" s="675" t="s">
        <v>651</v>
      </c>
      <c r="E340" s="677" t="s">
        <v>681</v>
      </c>
      <c r="F340" s="653" t="s">
        <v>579</v>
      </c>
      <c r="G340" s="653"/>
      <c r="H340" s="653"/>
      <c r="I340" s="309"/>
      <c r="J340" s="226"/>
    </row>
    <row r="341" spans="1:10" ht="47.25">
      <c r="A341" s="672"/>
      <c r="B341" s="672"/>
      <c r="C341" s="674"/>
      <c r="D341" s="676"/>
      <c r="E341" s="678"/>
      <c r="F341" s="227" t="s">
        <v>682</v>
      </c>
      <c r="G341" s="227" t="s">
        <v>557</v>
      </c>
      <c r="H341" s="227" t="s">
        <v>563</v>
      </c>
      <c r="I341" s="192"/>
      <c r="J341" s="228"/>
    </row>
    <row r="342" spans="1:10" ht="15.75">
      <c r="A342" s="232">
        <v>1</v>
      </c>
      <c r="B342" s="654">
        <v>2</v>
      </c>
      <c r="C342" s="655"/>
      <c r="D342" s="232">
        <v>3</v>
      </c>
      <c r="E342" s="232">
        <v>4</v>
      </c>
      <c r="F342" s="232">
        <v>5</v>
      </c>
      <c r="G342" s="232">
        <v>6</v>
      </c>
      <c r="H342" s="232">
        <v>7</v>
      </c>
      <c r="I342" s="278"/>
      <c r="J342" s="278"/>
    </row>
    <row r="343" spans="1:10" ht="15.75">
      <c r="A343" s="232">
        <v>1</v>
      </c>
      <c r="B343" s="654" t="s">
        <v>329</v>
      </c>
      <c r="C343" s="655"/>
      <c r="D343" s="232" t="s">
        <v>754</v>
      </c>
      <c r="E343" s="232" t="s">
        <v>754</v>
      </c>
      <c r="F343" s="232">
        <f>SUM(G343:H343)</f>
        <v>144982.13</v>
      </c>
      <c r="G343" s="232">
        <f>105204.41+39777.72</f>
        <v>144982.13</v>
      </c>
      <c r="H343" s="232">
        <v>0</v>
      </c>
      <c r="I343" s="278"/>
      <c r="J343" s="192"/>
    </row>
    <row r="344" spans="1:10" ht="15.75">
      <c r="A344" s="650" t="s">
        <v>571</v>
      </c>
      <c r="B344" s="651"/>
      <c r="C344" s="652"/>
      <c r="D344" s="200"/>
      <c r="E344" s="200" t="s">
        <v>562</v>
      </c>
      <c r="F344" s="315">
        <f>SUM(G344:H344)</f>
        <v>144982.13</v>
      </c>
      <c r="G344" s="232">
        <f>SUM(G343)</f>
        <v>144982.13</v>
      </c>
      <c r="H344" s="232">
        <v>0</v>
      </c>
      <c r="I344" s="192"/>
      <c r="J344" s="192"/>
    </row>
    <row r="345" spans="1:10" ht="15.75">
      <c r="A345" s="243"/>
      <c r="B345" s="243"/>
      <c r="C345" s="243"/>
      <c r="D345" s="237"/>
      <c r="E345" s="237"/>
      <c r="F345" s="365"/>
      <c r="G345" s="365"/>
      <c r="H345" s="365"/>
      <c r="I345" s="192"/>
      <c r="J345" s="192"/>
    </row>
    <row r="346" spans="1:11" ht="135" customHeight="1">
      <c r="A346" s="670" t="s">
        <v>692</v>
      </c>
      <c r="B346" s="670"/>
      <c r="C346" s="670"/>
      <c r="D346" s="670"/>
      <c r="E346" s="670"/>
      <c r="F346" s="670"/>
      <c r="G346" s="670"/>
      <c r="H346" s="670"/>
      <c r="I346" s="670"/>
      <c r="J346" s="670"/>
      <c r="K346" s="670"/>
    </row>
    <row r="347" ht="15.75">
      <c r="B347" s="186"/>
    </row>
    <row r="348" spans="1:4" ht="15.75">
      <c r="A348" s="194"/>
      <c r="B348" s="194" t="s">
        <v>693</v>
      </c>
      <c r="C348" s="194"/>
      <c r="D348" s="194"/>
    </row>
    <row r="349" ht="15.75">
      <c r="B349" s="186"/>
    </row>
    <row r="350" spans="1:10" ht="25.5" customHeight="1">
      <c r="A350" s="671" t="s">
        <v>545</v>
      </c>
      <c r="B350" s="671" t="s">
        <v>566</v>
      </c>
      <c r="C350" s="673"/>
      <c r="D350" s="675" t="s">
        <v>651</v>
      </c>
      <c r="E350" s="677" t="s">
        <v>681</v>
      </c>
      <c r="F350" s="653" t="s">
        <v>579</v>
      </c>
      <c r="G350" s="653"/>
      <c r="H350" s="653"/>
      <c r="I350" s="309"/>
      <c r="J350" s="226"/>
    </row>
    <row r="351" spans="1:10" ht="54.75" customHeight="1">
      <c r="A351" s="672"/>
      <c r="B351" s="672"/>
      <c r="C351" s="674"/>
      <c r="D351" s="676"/>
      <c r="E351" s="678"/>
      <c r="F351" s="227" t="s">
        <v>682</v>
      </c>
      <c r="G351" s="227" t="s">
        <v>557</v>
      </c>
      <c r="H351" s="227" t="s">
        <v>563</v>
      </c>
      <c r="I351" s="192"/>
      <c r="J351" s="228"/>
    </row>
    <row r="352" spans="1:10" ht="15.75" customHeight="1">
      <c r="A352" s="232">
        <v>1</v>
      </c>
      <c r="B352" s="654">
        <v>2</v>
      </c>
      <c r="C352" s="655"/>
      <c r="D352" s="232">
        <v>3</v>
      </c>
      <c r="E352" s="232">
        <v>4</v>
      </c>
      <c r="F352" s="232">
        <v>5</v>
      </c>
      <c r="G352" s="232">
        <v>6</v>
      </c>
      <c r="H352" s="232">
        <v>7</v>
      </c>
      <c r="I352" s="278"/>
      <c r="J352" s="278"/>
    </row>
    <row r="353" spans="1:10" ht="15.75">
      <c r="A353" s="206"/>
      <c r="B353" s="667"/>
      <c r="C353" s="668"/>
      <c r="D353" s="206"/>
      <c r="E353" s="206"/>
      <c r="F353" s="206"/>
      <c r="G353" s="232"/>
      <c r="H353" s="232"/>
      <c r="I353" s="278"/>
      <c r="J353" s="192"/>
    </row>
    <row r="354" spans="1:10" ht="15.75">
      <c r="A354" s="206"/>
      <c r="B354" s="667"/>
      <c r="C354" s="668"/>
      <c r="D354" s="206"/>
      <c r="E354" s="206"/>
      <c r="F354" s="206"/>
      <c r="G354" s="206"/>
      <c r="H354" s="232"/>
      <c r="I354" s="278"/>
      <c r="J354" s="192"/>
    </row>
    <row r="355" spans="1:10" ht="15.75">
      <c r="A355" s="650" t="s">
        <v>571</v>
      </c>
      <c r="B355" s="651"/>
      <c r="C355" s="652"/>
      <c r="D355" s="200"/>
      <c r="E355" s="200" t="s">
        <v>562</v>
      </c>
      <c r="F355" s="200"/>
      <c r="G355" s="206"/>
      <c r="H355" s="206"/>
      <c r="I355" s="192"/>
      <c r="J355" s="192"/>
    </row>
    <row r="358" spans="1:7" s="318" customFormat="1" ht="18.75">
      <c r="A358" s="316" t="s">
        <v>694</v>
      </c>
      <c r="B358" s="316"/>
      <c r="C358" s="316"/>
      <c r="D358" s="317"/>
      <c r="E358" s="317"/>
      <c r="F358" s="317"/>
      <c r="G358" s="317"/>
    </row>
    <row r="359" spans="1:4" s="318" customFormat="1" ht="15.75">
      <c r="A359" s="319"/>
      <c r="B359" s="320"/>
      <c r="C359" s="320"/>
      <c r="D359" s="321"/>
    </row>
    <row r="360" spans="1:5" s="318" customFormat="1" ht="42" customHeight="1">
      <c r="A360" s="322" t="s">
        <v>545</v>
      </c>
      <c r="B360" s="669" t="s">
        <v>695</v>
      </c>
      <c r="C360" s="669"/>
      <c r="D360" s="323" t="s">
        <v>696</v>
      </c>
      <c r="E360" s="324"/>
    </row>
    <row r="361" spans="1:5" s="318" customFormat="1" ht="24.75" customHeight="1">
      <c r="A361" s="325">
        <v>1</v>
      </c>
      <c r="B361" s="662" t="s">
        <v>697</v>
      </c>
      <c r="C361" s="662"/>
      <c r="D361" s="326">
        <f>J28+G75+G84+G123+H165+G203+F218+F233+G250+F261+G272+F283+F294+E306+G326+G336+G355+G64+G344++H184+G141+G92+J52</f>
        <v>5550967.024969999</v>
      </c>
      <c r="E361" s="324"/>
    </row>
    <row r="362" spans="1:5" s="318" customFormat="1" ht="24.75" customHeight="1">
      <c r="A362" s="325">
        <v>2</v>
      </c>
      <c r="B362" s="662" t="s">
        <v>563</v>
      </c>
      <c r="C362" s="662"/>
      <c r="D362" s="326">
        <f>J33+H75+H84+H123+I165+H203+G218+G233+H250+G261+H272+G283+G294+F306+H326+H336+H355+H64+F314+I184</f>
        <v>1155001.6393779998</v>
      </c>
      <c r="E362" s="516"/>
    </row>
    <row r="363" spans="1:5" s="318" customFormat="1" ht="25.5" customHeight="1">
      <c r="A363" s="663" t="s">
        <v>698</v>
      </c>
      <c r="B363" s="664"/>
      <c r="C363" s="665"/>
      <c r="D363" s="327">
        <f>SUM(D361:D362)</f>
        <v>6705968.664347999</v>
      </c>
      <c r="E363" s="516"/>
    </row>
    <row r="366" spans="1:5" ht="15.75">
      <c r="A366" s="186" t="s">
        <v>699</v>
      </c>
      <c r="C366" s="186" t="s">
        <v>700</v>
      </c>
      <c r="E366" s="186" t="s">
        <v>701</v>
      </c>
    </row>
    <row r="368" spans="1:3" ht="15.75">
      <c r="A368" s="186" t="s">
        <v>13</v>
      </c>
      <c r="C368" s="186" t="s">
        <v>700</v>
      </c>
    </row>
    <row r="369" spans="1:7" s="318" customFormat="1" ht="15.75">
      <c r="A369" s="328"/>
      <c r="B369" s="329"/>
      <c r="C369" s="329"/>
      <c r="D369" s="666"/>
      <c r="E369" s="666"/>
      <c r="F369" s="666"/>
      <c r="G369" s="666"/>
    </row>
  </sheetData>
  <sheetProtection/>
  <mergeCells count="261">
    <mergeCell ref="B116:D116"/>
    <mergeCell ref="B117:D117"/>
    <mergeCell ref="B118:D118"/>
    <mergeCell ref="B119:D119"/>
    <mergeCell ref="B120:D120"/>
    <mergeCell ref="B110:D110"/>
    <mergeCell ref="B111:D111"/>
    <mergeCell ref="B112:D112"/>
    <mergeCell ref="B113:D113"/>
    <mergeCell ref="B114:D114"/>
    <mergeCell ref="B115:D115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34:B34"/>
    <mergeCell ref="A38:A40"/>
    <mergeCell ref="B38:B40"/>
    <mergeCell ref="C38:C40"/>
    <mergeCell ref="D38:G38"/>
    <mergeCell ref="H38:H40"/>
    <mergeCell ref="I38:I40"/>
    <mergeCell ref="J38:J40"/>
    <mergeCell ref="K38:K40"/>
    <mergeCell ref="E39:G39"/>
    <mergeCell ref="A52:B52"/>
    <mergeCell ref="A55:K55"/>
    <mergeCell ref="B56:K56"/>
    <mergeCell ref="B57:G57"/>
    <mergeCell ref="A59:A60"/>
    <mergeCell ref="B59:B60"/>
    <mergeCell ref="C59:C60"/>
    <mergeCell ref="D59:D60"/>
    <mergeCell ref="E59:E60"/>
    <mergeCell ref="F59:H59"/>
    <mergeCell ref="A64:B64"/>
    <mergeCell ref="B68:I68"/>
    <mergeCell ref="A70:A71"/>
    <mergeCell ref="B70:B71"/>
    <mergeCell ref="C70:C71"/>
    <mergeCell ref="D70:D71"/>
    <mergeCell ref="E70:E71"/>
    <mergeCell ref="F70:H70"/>
    <mergeCell ref="A75:B75"/>
    <mergeCell ref="B77:F77"/>
    <mergeCell ref="A79:A80"/>
    <mergeCell ref="B79:B80"/>
    <mergeCell ref="C79:C80"/>
    <mergeCell ref="D79:D80"/>
    <mergeCell ref="E79:E80"/>
    <mergeCell ref="F79:H79"/>
    <mergeCell ref="A84:B84"/>
    <mergeCell ref="B86:F86"/>
    <mergeCell ref="A88:A89"/>
    <mergeCell ref="B88:B89"/>
    <mergeCell ref="C88:C89"/>
    <mergeCell ref="D88:D89"/>
    <mergeCell ref="E88:E89"/>
    <mergeCell ref="F88:H88"/>
    <mergeCell ref="A92:B92"/>
    <mergeCell ref="B94:I94"/>
    <mergeCell ref="A96:A97"/>
    <mergeCell ref="B96:D97"/>
    <mergeCell ref="E96:E97"/>
    <mergeCell ref="F96:H96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A123:D123"/>
    <mergeCell ref="B125:I125"/>
    <mergeCell ref="A127:A128"/>
    <mergeCell ref="B127:D128"/>
    <mergeCell ref="E127:E128"/>
    <mergeCell ref="F127:H127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A141:D141"/>
    <mergeCell ref="A145:K145"/>
    <mergeCell ref="B146:F146"/>
    <mergeCell ref="A147:K147"/>
    <mergeCell ref="A153:A154"/>
    <mergeCell ref="B153:D154"/>
    <mergeCell ref="E153:E154"/>
    <mergeCell ref="F153:F154"/>
    <mergeCell ref="G153:I153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A165:D165"/>
    <mergeCell ref="A167:K167"/>
    <mergeCell ref="A173:A174"/>
    <mergeCell ref="B173:D174"/>
    <mergeCell ref="E173:E174"/>
    <mergeCell ref="F173:F174"/>
    <mergeCell ref="G173:I173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3:D183"/>
    <mergeCell ref="A184:D184"/>
    <mergeCell ref="A190:K190"/>
    <mergeCell ref="A192:K192"/>
    <mergeCell ref="A198:A199"/>
    <mergeCell ref="B198:C199"/>
    <mergeCell ref="D198:D199"/>
    <mergeCell ref="E198:E199"/>
    <mergeCell ref="F198:H198"/>
    <mergeCell ref="B200:C200"/>
    <mergeCell ref="B201:C201"/>
    <mergeCell ref="B202:C202"/>
    <mergeCell ref="A203:C203"/>
    <mergeCell ref="A205:K205"/>
    <mergeCell ref="A207:K207"/>
    <mergeCell ref="A208:E208"/>
    <mergeCell ref="A213:A214"/>
    <mergeCell ref="B213:B214"/>
    <mergeCell ref="C213:C214"/>
    <mergeCell ref="D213:D214"/>
    <mergeCell ref="E213:G213"/>
    <mergeCell ref="A218:B218"/>
    <mergeCell ref="A220:K220"/>
    <mergeCell ref="A222:K222"/>
    <mergeCell ref="A228:A229"/>
    <mergeCell ref="B228:B229"/>
    <mergeCell ref="C228:C229"/>
    <mergeCell ref="D228:D229"/>
    <mergeCell ref="E228:G228"/>
    <mergeCell ref="A233:B233"/>
    <mergeCell ref="A235:K235"/>
    <mergeCell ref="A237:K237"/>
    <mergeCell ref="A245:A246"/>
    <mergeCell ref="B245:B246"/>
    <mergeCell ref="C245:C246"/>
    <mergeCell ref="D245:D246"/>
    <mergeCell ref="E245:E246"/>
    <mergeCell ref="F245:H245"/>
    <mergeCell ref="A250:B250"/>
    <mergeCell ref="A252:K252"/>
    <mergeCell ref="A256:A257"/>
    <mergeCell ref="B256:B257"/>
    <mergeCell ref="C256:C257"/>
    <mergeCell ref="D256:D257"/>
    <mergeCell ref="E256:G256"/>
    <mergeCell ref="A261:B261"/>
    <mergeCell ref="A263:K263"/>
    <mergeCell ref="A267:A268"/>
    <mergeCell ref="B267:B268"/>
    <mergeCell ref="C267:C268"/>
    <mergeCell ref="D267:D268"/>
    <mergeCell ref="E267:E268"/>
    <mergeCell ref="F267:H267"/>
    <mergeCell ref="A272:B272"/>
    <mergeCell ref="A274:K274"/>
    <mergeCell ref="A278:A279"/>
    <mergeCell ref="B278:B279"/>
    <mergeCell ref="C278:C279"/>
    <mergeCell ref="D278:D279"/>
    <mergeCell ref="E278:G278"/>
    <mergeCell ref="A283:B283"/>
    <mergeCell ref="A285:K285"/>
    <mergeCell ref="A289:A290"/>
    <mergeCell ref="B289:B290"/>
    <mergeCell ref="C289:C290"/>
    <mergeCell ref="D289:D290"/>
    <mergeCell ref="E289:G289"/>
    <mergeCell ref="A294:B294"/>
    <mergeCell ref="A296:K296"/>
    <mergeCell ref="A300:A301"/>
    <mergeCell ref="B300:B301"/>
    <mergeCell ref="C300:C301"/>
    <mergeCell ref="D300:F300"/>
    <mergeCell ref="A306:B306"/>
    <mergeCell ref="A310:A311"/>
    <mergeCell ref="B310:B311"/>
    <mergeCell ref="C310:C311"/>
    <mergeCell ref="D310:F310"/>
    <mergeCell ref="A314:B314"/>
    <mergeCell ref="A317:K317"/>
    <mergeCell ref="A321:A322"/>
    <mergeCell ref="B321:C322"/>
    <mergeCell ref="D321:D322"/>
    <mergeCell ref="E321:E322"/>
    <mergeCell ref="F321:H321"/>
    <mergeCell ref="B323:C323"/>
    <mergeCell ref="B324:C324"/>
    <mergeCell ref="B325:C325"/>
    <mergeCell ref="A326:C326"/>
    <mergeCell ref="A330:A331"/>
    <mergeCell ref="B330:C331"/>
    <mergeCell ref="D330:D331"/>
    <mergeCell ref="E330:E331"/>
    <mergeCell ref="F330:H330"/>
    <mergeCell ref="B332:C332"/>
    <mergeCell ref="B333:C333"/>
    <mergeCell ref="B334:C334"/>
    <mergeCell ref="B335:C335"/>
    <mergeCell ref="A336:C336"/>
    <mergeCell ref="A340:A341"/>
    <mergeCell ref="B340:C341"/>
    <mergeCell ref="D340:D341"/>
    <mergeCell ref="E340:E341"/>
    <mergeCell ref="F340:H340"/>
    <mergeCell ref="B342:C342"/>
    <mergeCell ref="B343:C343"/>
    <mergeCell ref="A344:C344"/>
    <mergeCell ref="A346:K346"/>
    <mergeCell ref="A350:A351"/>
    <mergeCell ref="B350:C351"/>
    <mergeCell ref="D350:D351"/>
    <mergeCell ref="E350:E351"/>
    <mergeCell ref="F350:H350"/>
    <mergeCell ref="B362:C362"/>
    <mergeCell ref="A363:C363"/>
    <mergeCell ref="D369:E369"/>
    <mergeCell ref="F369:G369"/>
    <mergeCell ref="B352:C352"/>
    <mergeCell ref="B353:C353"/>
    <mergeCell ref="B354:C354"/>
    <mergeCell ref="A355:C355"/>
    <mergeCell ref="B360:C360"/>
    <mergeCell ref="B361:C3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3" r:id="rId1"/>
  <rowBreaks count="4" manualBreakCount="4">
    <brk id="67" max="255" man="1"/>
    <brk id="123" max="255" man="1"/>
    <brk id="205" max="255" man="1"/>
    <brk id="29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17"/>
  <sheetViews>
    <sheetView view="pageBreakPreview" zoomScale="60" zoomScalePageLayoutView="0" workbookViewId="0" topLeftCell="A375">
      <selection activeCell="D312" sqref="D312"/>
    </sheetView>
  </sheetViews>
  <sheetFormatPr defaultColWidth="9.140625" defaultRowHeight="15"/>
  <cols>
    <col min="1" max="1" width="9.140625" style="186" customWidth="1"/>
    <col min="2" max="2" width="18.00390625" style="187" customWidth="1"/>
    <col min="3" max="3" width="20.57421875" style="186" customWidth="1"/>
    <col min="4" max="4" width="21.28125" style="186" customWidth="1"/>
    <col min="5" max="5" width="22.8515625" style="186" customWidth="1"/>
    <col min="6" max="6" width="26.00390625" style="186" customWidth="1"/>
    <col min="7" max="7" width="20.421875" style="186" customWidth="1"/>
    <col min="8" max="8" width="16.28125" style="186" customWidth="1"/>
    <col min="9" max="9" width="19.57421875" style="186" customWidth="1"/>
    <col min="10" max="10" width="23.00390625" style="186" customWidth="1"/>
    <col min="11" max="11" width="24.421875" style="186" customWidth="1"/>
    <col min="12" max="12" width="18.00390625" style="186" bestFit="1" customWidth="1"/>
    <col min="13" max="16384" width="9.140625" style="186" customWidth="1"/>
  </cols>
  <sheetData>
    <row r="1" spans="5:6" ht="15.75" customHeight="1">
      <c r="E1" s="747"/>
      <c r="F1" s="747"/>
    </row>
    <row r="2" spans="1:26" s="190" customFormat="1" ht="40.5" customHeight="1">
      <c r="A2" s="748" t="s">
        <v>539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2:26" s="190" customFormat="1" ht="15.75" customHeight="1">
      <c r="B3" s="749" t="s">
        <v>852</v>
      </c>
      <c r="C3" s="749"/>
      <c r="D3" s="749"/>
      <c r="E3" s="749"/>
      <c r="F3" s="749"/>
      <c r="G3" s="749"/>
      <c r="H3" s="749"/>
      <c r="I3" s="74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162" ht="20.25" customHeight="1">
      <c r="A4" s="750" t="s">
        <v>540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</row>
    <row r="5" spans="2:31" ht="15.75" customHeight="1">
      <c r="B5" s="186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5.75" customHeight="1">
      <c r="B6" s="186" t="s">
        <v>541</v>
      </c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2:31" ht="15.75" customHeight="1">
      <c r="B7" s="186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2:31" ht="15.75" customHeight="1">
      <c r="B8" s="186" t="s">
        <v>714</v>
      </c>
      <c r="D8" s="193" t="s">
        <v>715</v>
      </c>
      <c r="E8" s="193"/>
      <c r="F8" s="193"/>
      <c r="G8" s="193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2:31" ht="15.75" customHeight="1">
      <c r="B9" s="18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2:31" ht="15.75" customHeight="1">
      <c r="B10" s="194" t="s">
        <v>544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2:31" ht="15.75" customHeight="1">
      <c r="B11" s="186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83" ht="48" customHeight="1">
      <c r="A12" s="740" t="s">
        <v>545</v>
      </c>
      <c r="B12" s="741" t="s">
        <v>546</v>
      </c>
      <c r="C12" s="741" t="s">
        <v>547</v>
      </c>
      <c r="D12" s="744" t="s">
        <v>548</v>
      </c>
      <c r="E12" s="745"/>
      <c r="F12" s="745"/>
      <c r="G12" s="746"/>
      <c r="H12" s="731" t="s">
        <v>549</v>
      </c>
      <c r="I12" s="731" t="s">
        <v>550</v>
      </c>
      <c r="J12" s="731" t="s">
        <v>551</v>
      </c>
      <c r="K12" s="734" t="s">
        <v>552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2"/>
      <c r="BY12" s="192"/>
      <c r="BZ12" s="192"/>
      <c r="CA12" s="192"/>
      <c r="CB12" s="192"/>
      <c r="CC12" s="192"/>
      <c r="CD12" s="192"/>
      <c r="CE12" s="192"/>
    </row>
    <row r="13" spans="1:73" ht="15.75" customHeight="1">
      <c r="A13" s="740"/>
      <c r="B13" s="742"/>
      <c r="C13" s="742"/>
      <c r="D13" s="196" t="s">
        <v>36</v>
      </c>
      <c r="E13" s="735" t="s">
        <v>4</v>
      </c>
      <c r="F13" s="736"/>
      <c r="G13" s="736"/>
      <c r="H13" s="732"/>
      <c r="I13" s="732"/>
      <c r="J13" s="732"/>
      <c r="K13" s="73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</row>
    <row r="14" spans="1:31" ht="46.5" customHeight="1">
      <c r="A14" s="740"/>
      <c r="B14" s="743"/>
      <c r="C14" s="743"/>
      <c r="D14" s="198"/>
      <c r="E14" s="199" t="s">
        <v>553</v>
      </c>
      <c r="F14" s="199" t="s">
        <v>554</v>
      </c>
      <c r="G14" s="197" t="s">
        <v>555</v>
      </c>
      <c r="H14" s="733"/>
      <c r="I14" s="733"/>
      <c r="J14" s="733"/>
      <c r="K14" s="734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2"/>
      <c r="AB14" s="192"/>
      <c r="AC14" s="192"/>
      <c r="AD14" s="192"/>
      <c r="AE14" s="192"/>
    </row>
    <row r="15" spans="1:31" ht="15.75" customHeight="1">
      <c r="A15" s="200">
        <v>1</v>
      </c>
      <c r="B15" s="201">
        <v>2</v>
      </c>
      <c r="C15" s="201">
        <v>3</v>
      </c>
      <c r="D15" s="202">
        <v>4</v>
      </c>
      <c r="E15" s="203">
        <v>5</v>
      </c>
      <c r="F15" s="204">
        <v>6</v>
      </c>
      <c r="G15" s="201">
        <v>7</v>
      </c>
      <c r="H15" s="201">
        <v>8</v>
      </c>
      <c r="I15" s="201">
        <v>9</v>
      </c>
      <c r="J15" s="204">
        <v>10</v>
      </c>
      <c r="K15" s="204">
        <v>11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2"/>
      <c r="AB15" s="192"/>
      <c r="AC15" s="192"/>
      <c r="AD15" s="192"/>
      <c r="AE15" s="192"/>
    </row>
    <row r="16" spans="1:31" ht="15.75" customHeight="1">
      <c r="A16" s="206"/>
      <c r="B16" s="346" t="s">
        <v>556</v>
      </c>
      <c r="C16" s="330">
        <v>4</v>
      </c>
      <c r="D16" s="330">
        <f>1782.7+4999.97</f>
        <v>6782.67</v>
      </c>
      <c r="E16" s="239"/>
      <c r="F16" s="239"/>
      <c r="G16" s="330"/>
      <c r="H16" s="330"/>
      <c r="I16" s="330">
        <v>1.15</v>
      </c>
      <c r="J16" s="239">
        <f aca="true" t="shared" si="0" ref="J16:J23">(C16*D16*(1+H16/100)*I16*12)</f>
        <v>374403.38399999996</v>
      </c>
      <c r="K16" s="347" t="s">
        <v>716</v>
      </c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</row>
    <row r="17" spans="1:31" ht="15.75" customHeight="1">
      <c r="A17" s="206"/>
      <c r="B17" s="346" t="s">
        <v>558</v>
      </c>
      <c r="C17" s="330">
        <v>3</v>
      </c>
      <c r="D17" s="330">
        <f>1782.7+5000</f>
        <v>6782.7</v>
      </c>
      <c r="E17" s="239"/>
      <c r="F17" s="239"/>
      <c r="G17" s="330"/>
      <c r="H17" s="330"/>
      <c r="I17" s="330">
        <v>1.15</v>
      </c>
      <c r="J17" s="239">
        <f t="shared" si="0"/>
        <v>280803.7799999999</v>
      </c>
      <c r="K17" s="347" t="s">
        <v>716</v>
      </c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</row>
    <row r="18" spans="1:31" ht="15.75" customHeight="1">
      <c r="A18" s="206"/>
      <c r="B18" s="346" t="s">
        <v>559</v>
      </c>
      <c r="C18" s="330">
        <v>44</v>
      </c>
      <c r="D18" s="330">
        <f>3060+3103.13</f>
        <v>6163.13</v>
      </c>
      <c r="E18" s="239"/>
      <c r="F18" s="239"/>
      <c r="G18" s="330"/>
      <c r="H18" s="330"/>
      <c r="I18" s="330">
        <v>1.15</v>
      </c>
      <c r="J18" s="239">
        <f t="shared" si="0"/>
        <v>3742252.5360000003</v>
      </c>
      <c r="K18" s="347" t="s">
        <v>716</v>
      </c>
      <c r="L18" s="561">
        <f>J16+J17+J18+J19</f>
        <v>4495864.74</v>
      </c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</row>
    <row r="19" spans="1:31" ht="15.75" customHeight="1">
      <c r="A19" s="206"/>
      <c r="B19" s="346" t="s">
        <v>560</v>
      </c>
      <c r="C19" s="330">
        <v>4</v>
      </c>
      <c r="D19" s="330">
        <v>1782.7</v>
      </c>
      <c r="E19" s="239"/>
      <c r="F19" s="239"/>
      <c r="G19" s="330"/>
      <c r="H19" s="330"/>
      <c r="I19" s="330">
        <v>1.15</v>
      </c>
      <c r="J19" s="239">
        <f t="shared" si="0"/>
        <v>98405.04000000001</v>
      </c>
      <c r="K19" s="347" t="s">
        <v>716</v>
      </c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</row>
    <row r="20" spans="1:31" ht="15.75" customHeight="1">
      <c r="A20" s="206"/>
      <c r="B20" s="346" t="s">
        <v>556</v>
      </c>
      <c r="C20" s="330">
        <v>2</v>
      </c>
      <c r="D20" s="330">
        <f>SUM(E20:H20)</f>
        <v>6123.37</v>
      </c>
      <c r="E20" s="330">
        <v>6123.37</v>
      </c>
      <c r="F20" s="203">
        <v>0</v>
      </c>
      <c r="G20" s="215">
        <v>0</v>
      </c>
      <c r="H20" s="215">
        <v>0</v>
      </c>
      <c r="I20" s="215">
        <v>1.15</v>
      </c>
      <c r="J20" s="239">
        <f t="shared" si="0"/>
        <v>169005.012</v>
      </c>
      <c r="K20" s="347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</row>
    <row r="21" spans="1:31" ht="15.75" customHeight="1">
      <c r="A21" s="206"/>
      <c r="B21" s="346" t="s">
        <v>558</v>
      </c>
      <c r="C21" s="330">
        <v>10</v>
      </c>
      <c r="D21" s="330">
        <f>SUM(E21:H21)</f>
        <v>4236.51</v>
      </c>
      <c r="E21" s="330">
        <v>4236.51</v>
      </c>
      <c r="F21" s="203">
        <v>0</v>
      </c>
      <c r="G21" s="215">
        <v>0</v>
      </c>
      <c r="H21" s="215">
        <v>0</v>
      </c>
      <c r="I21" s="215">
        <v>1.15</v>
      </c>
      <c r="J21" s="239">
        <f t="shared" si="0"/>
        <v>584638.3800000001</v>
      </c>
      <c r="K21" s="347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</row>
    <row r="22" spans="1:31" ht="15.75" customHeight="1">
      <c r="A22" s="206"/>
      <c r="B22" s="346" t="s">
        <v>559</v>
      </c>
      <c r="C22" s="330">
        <v>5</v>
      </c>
      <c r="D22" s="330">
        <f>SUM(E22:H22)</f>
        <v>3674.99</v>
      </c>
      <c r="E22" s="330">
        <v>3674.99</v>
      </c>
      <c r="F22" s="203">
        <v>0</v>
      </c>
      <c r="G22" s="215">
        <v>0</v>
      </c>
      <c r="H22" s="215">
        <v>0</v>
      </c>
      <c r="I22" s="215">
        <v>1.15</v>
      </c>
      <c r="J22" s="239">
        <f t="shared" si="0"/>
        <v>253574.30999999994</v>
      </c>
      <c r="K22" s="347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</row>
    <row r="23" spans="1:31" ht="15.75" customHeight="1">
      <c r="A23" s="206"/>
      <c r="B23" s="346" t="s">
        <v>560</v>
      </c>
      <c r="C23" s="330">
        <v>5</v>
      </c>
      <c r="D23" s="330">
        <f>SUM(E23:H23)</f>
        <v>3204.09</v>
      </c>
      <c r="E23" s="330">
        <v>3204.09</v>
      </c>
      <c r="F23" s="203">
        <v>0</v>
      </c>
      <c r="G23" s="215">
        <v>0</v>
      </c>
      <c r="H23" s="215">
        <v>0</v>
      </c>
      <c r="I23" s="215">
        <v>1.15</v>
      </c>
      <c r="J23" s="239">
        <f t="shared" si="0"/>
        <v>221082.20999999996</v>
      </c>
      <c r="K23" s="347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</row>
    <row r="24" spans="1:31" ht="15.75" customHeight="1">
      <c r="A24" s="206"/>
      <c r="B24" s="346" t="s">
        <v>561</v>
      </c>
      <c r="C24" s="202" t="s">
        <v>562</v>
      </c>
      <c r="D24" s="202"/>
      <c r="E24" s="203" t="s">
        <v>562</v>
      </c>
      <c r="F24" s="203" t="s">
        <v>562</v>
      </c>
      <c r="G24" s="215" t="s">
        <v>562</v>
      </c>
      <c r="H24" s="215" t="s">
        <v>562</v>
      </c>
      <c r="I24" s="215" t="s">
        <v>562</v>
      </c>
      <c r="J24" s="350">
        <f>SUM(J20:J23)</f>
        <v>1228299.912</v>
      </c>
      <c r="K24" s="347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</row>
    <row r="25" spans="1:31" ht="15.75" customHeight="1">
      <c r="A25" s="206"/>
      <c r="B25" s="346"/>
      <c r="C25" s="330"/>
      <c r="D25" s="330"/>
      <c r="E25" s="239"/>
      <c r="F25" s="239"/>
      <c r="G25" s="330"/>
      <c r="H25" s="330"/>
      <c r="I25" s="330"/>
      <c r="J25" s="239"/>
      <c r="K25" s="347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</row>
    <row r="26" spans="1:31" ht="15.75" customHeight="1">
      <c r="A26" s="206"/>
      <c r="B26" s="348" t="s">
        <v>561</v>
      </c>
      <c r="C26" s="349" t="s">
        <v>562</v>
      </c>
      <c r="D26" s="349"/>
      <c r="E26" s="350" t="s">
        <v>562</v>
      </c>
      <c r="F26" s="350" t="s">
        <v>562</v>
      </c>
      <c r="G26" s="349" t="s">
        <v>562</v>
      </c>
      <c r="H26" s="349" t="s">
        <v>562</v>
      </c>
      <c r="I26" s="349" t="s">
        <v>562</v>
      </c>
      <c r="J26" s="351">
        <f>SUM(J16:J19)+J24</f>
        <v>5724164.652000001</v>
      </c>
      <c r="K26" s="352" t="s">
        <v>562</v>
      </c>
      <c r="L26" s="394">
        <f>F94+J26</f>
        <v>7452862.302000001</v>
      </c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</row>
    <row r="27" spans="1:11" ht="15.75" customHeight="1">
      <c r="A27" s="192"/>
      <c r="B27" s="220"/>
      <c r="C27" s="221"/>
      <c r="D27" s="220"/>
      <c r="E27" s="220"/>
      <c r="F27" s="220"/>
      <c r="G27" s="220"/>
      <c r="H27" s="220"/>
      <c r="I27" s="220"/>
      <c r="J27" s="222"/>
      <c r="K27" s="223"/>
    </row>
    <row r="28" spans="1:160" ht="15.75" customHeight="1" hidden="1">
      <c r="A28" s="750" t="s">
        <v>921</v>
      </c>
      <c r="B28" s="750"/>
      <c r="C28" s="750"/>
      <c r="D28" s="750"/>
      <c r="E28" s="750"/>
      <c r="F28" s="750"/>
      <c r="G28" s="750"/>
      <c r="H28" s="750"/>
      <c r="I28" s="750"/>
      <c r="J28" s="750"/>
      <c r="K28" s="750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91"/>
      <c r="BH28" s="191"/>
      <c r="BI28" s="191"/>
      <c r="BJ28" s="191"/>
      <c r="BK28" s="191"/>
      <c r="BL28" s="191"/>
      <c r="BM28" s="191"/>
      <c r="BN28" s="191"/>
      <c r="BO28" s="191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1"/>
      <c r="DA28" s="191"/>
      <c r="DB28" s="191"/>
      <c r="DC28" s="191"/>
      <c r="DD28" s="191"/>
      <c r="DE28" s="191"/>
      <c r="DF28" s="191"/>
      <c r="DG28" s="191"/>
      <c r="DH28" s="191"/>
      <c r="DI28" s="191"/>
      <c r="DJ28" s="191"/>
      <c r="DK28" s="191"/>
      <c r="DL28" s="191"/>
      <c r="DM28" s="191"/>
      <c r="DN28" s="191"/>
      <c r="DO28" s="191"/>
      <c r="DP28" s="191"/>
      <c r="DQ28" s="191"/>
      <c r="DR28" s="191"/>
      <c r="DS28" s="191"/>
      <c r="DT28" s="191"/>
      <c r="DU28" s="191"/>
      <c r="DV28" s="191"/>
      <c r="DW28" s="191"/>
      <c r="DX28" s="191"/>
      <c r="DY28" s="191"/>
      <c r="DZ28" s="191"/>
      <c r="EA28" s="191"/>
      <c r="EB28" s="191"/>
      <c r="EC28" s="191"/>
      <c r="ED28" s="191"/>
      <c r="EE28" s="191"/>
      <c r="EF28" s="191"/>
      <c r="EG28" s="191"/>
      <c r="EH28" s="191"/>
      <c r="EI28" s="191"/>
      <c r="EJ28" s="191"/>
      <c r="EK28" s="191"/>
      <c r="EL28" s="191"/>
      <c r="EM28" s="191"/>
      <c r="EN28" s="191"/>
      <c r="EO28" s="191"/>
      <c r="EP28" s="191"/>
      <c r="EQ28" s="191"/>
      <c r="ER28" s="191"/>
      <c r="ES28" s="191"/>
      <c r="ET28" s="191"/>
      <c r="EU28" s="191"/>
      <c r="EV28" s="191"/>
      <c r="EW28" s="191"/>
      <c r="EX28" s="191"/>
      <c r="EY28" s="191"/>
      <c r="EZ28" s="191"/>
      <c r="FA28" s="191"/>
      <c r="FB28" s="191"/>
      <c r="FC28" s="191"/>
      <c r="FD28" s="191"/>
    </row>
    <row r="29" spans="2:29" ht="15.75" customHeight="1" hidden="1">
      <c r="B29" s="186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</row>
    <row r="30" spans="2:29" ht="15.75" customHeight="1" hidden="1">
      <c r="B30" s="186" t="s">
        <v>541</v>
      </c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</row>
    <row r="31" spans="2:29" ht="15.75" customHeight="1" hidden="1">
      <c r="B31" s="186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</row>
    <row r="32" spans="2:29" ht="15.75" customHeight="1" hidden="1">
      <c r="B32" s="186" t="s">
        <v>714</v>
      </c>
      <c r="D32" s="193" t="s">
        <v>715</v>
      </c>
      <c r="E32" s="193"/>
      <c r="F32" s="193"/>
      <c r="G32" s="193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</row>
    <row r="33" spans="2:29" ht="15.75" customHeight="1" hidden="1">
      <c r="B33" s="186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</row>
    <row r="34" spans="2:29" ht="15.75" customHeight="1" hidden="1">
      <c r="B34" s="194" t="s">
        <v>544</v>
      </c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</row>
    <row r="35" spans="2:29" ht="15.75" customHeight="1" hidden="1">
      <c r="B35" s="186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</row>
    <row r="36" spans="1:81" ht="15.75" customHeight="1" hidden="1">
      <c r="A36" s="740" t="s">
        <v>545</v>
      </c>
      <c r="B36" s="741" t="s">
        <v>546</v>
      </c>
      <c r="C36" s="741" t="s">
        <v>547</v>
      </c>
      <c r="D36" s="744" t="s">
        <v>548</v>
      </c>
      <c r="E36" s="745"/>
      <c r="F36" s="745"/>
      <c r="G36" s="746"/>
      <c r="H36" s="731" t="s">
        <v>549</v>
      </c>
      <c r="I36" s="731" t="s">
        <v>550</v>
      </c>
      <c r="J36" s="731" t="s">
        <v>551</v>
      </c>
      <c r="K36" s="734" t="s">
        <v>552</v>
      </c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  <c r="BB36" s="195"/>
      <c r="BC36" s="195"/>
      <c r="BD36" s="195"/>
      <c r="BE36" s="195"/>
      <c r="BF36" s="195"/>
      <c r="BG36" s="195"/>
      <c r="BH36" s="195"/>
      <c r="BI36" s="195"/>
      <c r="BJ36" s="195"/>
      <c r="BK36" s="195"/>
      <c r="BL36" s="195"/>
      <c r="BM36" s="195"/>
      <c r="BN36" s="195"/>
      <c r="BO36" s="195"/>
      <c r="BP36" s="195"/>
      <c r="BQ36" s="195"/>
      <c r="BR36" s="195"/>
      <c r="BS36" s="195"/>
      <c r="BT36" s="195"/>
      <c r="BU36" s="195"/>
      <c r="BV36" s="192"/>
      <c r="BW36" s="192"/>
      <c r="BX36" s="192"/>
      <c r="BY36" s="192"/>
      <c r="BZ36" s="192"/>
      <c r="CA36" s="192"/>
      <c r="CB36" s="192"/>
      <c r="CC36" s="192"/>
    </row>
    <row r="37" spans="1:71" ht="15.75" customHeight="1" hidden="1">
      <c r="A37" s="740"/>
      <c r="B37" s="742"/>
      <c r="C37" s="742"/>
      <c r="D37" s="196" t="s">
        <v>36</v>
      </c>
      <c r="E37" s="735" t="s">
        <v>4</v>
      </c>
      <c r="F37" s="736"/>
      <c r="G37" s="736"/>
      <c r="H37" s="732"/>
      <c r="I37" s="732"/>
      <c r="J37" s="732"/>
      <c r="K37" s="734"/>
      <c r="L37" s="195"/>
      <c r="M37" s="195"/>
      <c r="N37" s="195"/>
      <c r="O37" s="195"/>
      <c r="P37" s="195"/>
      <c r="Q37" s="195"/>
      <c r="R37" s="195"/>
      <c r="S37" s="195"/>
      <c r="T37" s="195"/>
      <c r="U37" s="195"/>
      <c r="V37" s="195"/>
      <c r="W37" s="195"/>
      <c r="X37" s="195"/>
      <c r="Y37" s="195"/>
      <c r="Z37" s="195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</row>
    <row r="38" spans="1:29" ht="15.75" customHeight="1" hidden="1">
      <c r="A38" s="740"/>
      <c r="B38" s="743"/>
      <c r="C38" s="743"/>
      <c r="D38" s="198"/>
      <c r="E38" s="199" t="s">
        <v>553</v>
      </c>
      <c r="F38" s="199" t="s">
        <v>554</v>
      </c>
      <c r="G38" s="197" t="s">
        <v>555</v>
      </c>
      <c r="H38" s="733"/>
      <c r="I38" s="733"/>
      <c r="J38" s="733"/>
      <c r="K38" s="734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2"/>
      <c r="Z38" s="192"/>
      <c r="AA38" s="192"/>
      <c r="AB38" s="192"/>
      <c r="AC38" s="192"/>
    </row>
    <row r="39" spans="1:29" ht="15.75" customHeight="1" hidden="1">
      <c r="A39" s="200">
        <v>1</v>
      </c>
      <c r="B39" s="201">
        <v>2</v>
      </c>
      <c r="C39" s="201">
        <v>3</v>
      </c>
      <c r="D39" s="202">
        <v>4</v>
      </c>
      <c r="E39" s="203">
        <v>5</v>
      </c>
      <c r="F39" s="204">
        <v>6</v>
      </c>
      <c r="G39" s="201">
        <v>7</v>
      </c>
      <c r="H39" s="201">
        <v>8</v>
      </c>
      <c r="I39" s="201">
        <v>9</v>
      </c>
      <c r="J39" s="204">
        <v>10</v>
      </c>
      <c r="K39" s="204">
        <v>11</v>
      </c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192"/>
      <c r="Z39" s="192"/>
      <c r="AA39" s="192"/>
      <c r="AB39" s="192"/>
      <c r="AC39" s="192"/>
    </row>
    <row r="40" spans="1:29" ht="15.75" customHeight="1" hidden="1">
      <c r="A40" s="206"/>
      <c r="B40" s="346" t="s">
        <v>556</v>
      </c>
      <c r="C40" s="330">
        <v>2</v>
      </c>
      <c r="D40" s="330">
        <f>SUM(E40:H40)</f>
        <v>6123.37</v>
      </c>
      <c r="E40" s="330">
        <v>6123.37</v>
      </c>
      <c r="F40" s="203">
        <v>0</v>
      </c>
      <c r="G40" s="215">
        <v>0</v>
      </c>
      <c r="H40" s="215">
        <v>0</v>
      </c>
      <c r="I40" s="215">
        <v>1.15</v>
      </c>
      <c r="J40" s="239"/>
      <c r="K40" s="211" t="s">
        <v>716</v>
      </c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</row>
    <row r="41" spans="1:29" ht="15.75" customHeight="1" hidden="1">
      <c r="A41" s="206"/>
      <c r="B41" s="346" t="s">
        <v>558</v>
      </c>
      <c r="C41" s="330">
        <v>10</v>
      </c>
      <c r="D41" s="330">
        <f>SUM(E41:H41)</f>
        <v>4236.51</v>
      </c>
      <c r="E41" s="330">
        <v>4236.51</v>
      </c>
      <c r="F41" s="203">
        <v>0</v>
      </c>
      <c r="G41" s="215">
        <v>0</v>
      </c>
      <c r="H41" s="215">
        <v>0</v>
      </c>
      <c r="I41" s="215">
        <v>1.15</v>
      </c>
      <c r="J41" s="239"/>
      <c r="K41" s="211" t="s">
        <v>716</v>
      </c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</row>
    <row r="42" spans="1:29" ht="15.75" customHeight="1" hidden="1">
      <c r="A42" s="206"/>
      <c r="B42" s="346" t="s">
        <v>559</v>
      </c>
      <c r="C42" s="330">
        <v>5</v>
      </c>
      <c r="D42" s="330">
        <f>SUM(E42:H42)</f>
        <v>3674.99</v>
      </c>
      <c r="E42" s="330">
        <v>3674.99</v>
      </c>
      <c r="F42" s="203">
        <v>0</v>
      </c>
      <c r="G42" s="215">
        <v>0</v>
      </c>
      <c r="H42" s="215">
        <v>0</v>
      </c>
      <c r="I42" s="215">
        <v>1.15</v>
      </c>
      <c r="J42" s="239"/>
      <c r="K42" s="211" t="s">
        <v>716</v>
      </c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</row>
    <row r="43" spans="1:29" ht="15.75" customHeight="1" hidden="1">
      <c r="A43" s="206"/>
      <c r="B43" s="346" t="s">
        <v>560</v>
      </c>
      <c r="C43" s="330">
        <v>5</v>
      </c>
      <c r="D43" s="330">
        <f>SUM(E43:H43)</f>
        <v>3204.09</v>
      </c>
      <c r="E43" s="330">
        <v>3204.09</v>
      </c>
      <c r="F43" s="203">
        <v>0</v>
      </c>
      <c r="G43" s="215">
        <v>0</v>
      </c>
      <c r="H43" s="215">
        <v>0</v>
      </c>
      <c r="I43" s="215">
        <v>1.15</v>
      </c>
      <c r="J43" s="239"/>
      <c r="K43" s="211" t="s">
        <v>716</v>
      </c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</row>
    <row r="44" spans="1:29" ht="15.75" customHeight="1" hidden="1">
      <c r="A44" s="206"/>
      <c r="B44" s="346" t="s">
        <v>561</v>
      </c>
      <c r="C44" s="202" t="s">
        <v>562</v>
      </c>
      <c r="D44" s="202"/>
      <c r="E44" s="203" t="s">
        <v>562</v>
      </c>
      <c r="F44" s="203" t="s">
        <v>562</v>
      </c>
      <c r="G44" s="215" t="s">
        <v>562</v>
      </c>
      <c r="H44" s="215" t="s">
        <v>562</v>
      </c>
      <c r="I44" s="215" t="s">
        <v>562</v>
      </c>
      <c r="J44" s="239"/>
      <c r="K44" s="203" t="s">
        <v>562</v>
      </c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</row>
    <row r="45" spans="1:11" ht="15.75" customHeight="1" hidden="1">
      <c r="A45" s="737" t="s">
        <v>561</v>
      </c>
      <c r="B45" s="738"/>
      <c r="C45" s="521"/>
      <c r="D45" s="217"/>
      <c r="E45" s="217"/>
      <c r="F45" s="217"/>
      <c r="G45" s="217"/>
      <c r="H45" s="217"/>
      <c r="I45" s="217"/>
      <c r="J45" s="351">
        <f>J44</f>
        <v>0</v>
      </c>
      <c r="K45" s="219"/>
    </row>
    <row r="46" spans="1:11" ht="208.5" customHeight="1">
      <c r="A46" s="739" t="s">
        <v>564</v>
      </c>
      <c r="B46" s="739"/>
      <c r="C46" s="739"/>
      <c r="D46" s="739"/>
      <c r="E46" s="739"/>
      <c r="F46" s="739"/>
      <c r="G46" s="739"/>
      <c r="H46" s="739"/>
      <c r="I46" s="739"/>
      <c r="J46" s="739"/>
      <c r="K46" s="739"/>
    </row>
    <row r="47" spans="2:11" ht="15.75" customHeight="1">
      <c r="B47" s="729"/>
      <c r="C47" s="729"/>
      <c r="D47" s="729"/>
      <c r="E47" s="729"/>
      <c r="F47" s="729"/>
      <c r="G47" s="729"/>
      <c r="H47" s="729"/>
      <c r="I47" s="729"/>
      <c r="J47" s="729"/>
      <c r="K47" s="729"/>
    </row>
    <row r="48" spans="2:9" ht="21" customHeight="1">
      <c r="B48" s="730" t="s">
        <v>565</v>
      </c>
      <c r="C48" s="730"/>
      <c r="D48" s="730"/>
      <c r="E48" s="730"/>
      <c r="F48" s="730"/>
      <c r="G48" s="730"/>
      <c r="H48" s="730"/>
      <c r="I48" s="730"/>
    </row>
    <row r="50" spans="1:9" ht="45" customHeight="1">
      <c r="A50" s="675" t="s">
        <v>545</v>
      </c>
      <c r="B50" s="677" t="s">
        <v>566</v>
      </c>
      <c r="C50" s="677" t="s">
        <v>567</v>
      </c>
      <c r="D50" s="677" t="s">
        <v>568</v>
      </c>
      <c r="E50" s="677" t="s">
        <v>569</v>
      </c>
      <c r="F50" s="227" t="s">
        <v>717</v>
      </c>
      <c r="G50" s="353"/>
      <c r="H50" s="353"/>
      <c r="I50" s="226"/>
    </row>
    <row r="51" spans="1:9" ht="39.75" customHeight="1">
      <c r="A51" s="676"/>
      <c r="B51" s="678"/>
      <c r="C51" s="678"/>
      <c r="D51" s="678"/>
      <c r="E51" s="678"/>
      <c r="F51" s="269" t="s">
        <v>718</v>
      </c>
      <c r="G51" s="354"/>
      <c r="H51" s="353"/>
      <c r="I51" s="228"/>
    </row>
    <row r="52" spans="1:9" ht="15.75">
      <c r="A52" s="206">
        <v>1</v>
      </c>
      <c r="B52" s="229">
        <v>2</v>
      </c>
      <c r="C52" s="229">
        <v>3</v>
      </c>
      <c r="D52" s="229">
        <v>4</v>
      </c>
      <c r="E52" s="229">
        <v>5</v>
      </c>
      <c r="F52" s="229">
        <v>6</v>
      </c>
      <c r="G52" s="231"/>
      <c r="H52" s="231"/>
      <c r="I52" s="231"/>
    </row>
    <row r="53" spans="1:9" ht="15.75">
      <c r="A53" s="206"/>
      <c r="B53" s="200"/>
      <c r="C53" s="206"/>
      <c r="D53" s="206"/>
      <c r="E53" s="206"/>
      <c r="F53" s="355"/>
      <c r="G53" s="278"/>
      <c r="H53" s="278"/>
      <c r="I53" s="192"/>
    </row>
    <row r="54" spans="1:9" ht="15.75">
      <c r="A54" s="206"/>
      <c r="B54" s="200"/>
      <c r="C54" s="206"/>
      <c r="D54" s="206"/>
      <c r="E54" s="206"/>
      <c r="F54" s="356"/>
      <c r="G54" s="278"/>
      <c r="H54" s="278"/>
      <c r="I54" s="192"/>
    </row>
    <row r="55" spans="1:9" ht="15.75">
      <c r="A55" s="650" t="s">
        <v>571</v>
      </c>
      <c r="B55" s="652"/>
      <c r="C55" s="200" t="s">
        <v>562</v>
      </c>
      <c r="D55" s="200" t="s">
        <v>562</v>
      </c>
      <c r="E55" s="200" t="s">
        <v>562</v>
      </c>
      <c r="F55" s="356">
        <f>SUM(F53:F54)</f>
        <v>0</v>
      </c>
      <c r="G55" s="278"/>
      <c r="H55" s="278"/>
      <c r="I55" s="192"/>
    </row>
    <row r="57" spans="2:6" ht="15.75">
      <c r="B57" s="728" t="s">
        <v>572</v>
      </c>
      <c r="C57" s="728"/>
      <c r="D57" s="728"/>
      <c r="E57" s="728"/>
      <c r="F57" s="728"/>
    </row>
    <row r="59" spans="1:9" ht="39.75" customHeight="1">
      <c r="A59" s="675" t="s">
        <v>545</v>
      </c>
      <c r="B59" s="677" t="s">
        <v>566</v>
      </c>
      <c r="C59" s="677" t="s">
        <v>573</v>
      </c>
      <c r="D59" s="677" t="s">
        <v>574</v>
      </c>
      <c r="E59" s="677" t="s">
        <v>575</v>
      </c>
      <c r="F59" s="227" t="s">
        <v>717</v>
      </c>
      <c r="G59" s="353"/>
      <c r="H59" s="353"/>
      <c r="I59" s="226"/>
    </row>
    <row r="60" spans="1:9" ht="39" customHeight="1">
      <c r="A60" s="676"/>
      <c r="B60" s="678"/>
      <c r="C60" s="678"/>
      <c r="D60" s="678"/>
      <c r="E60" s="678"/>
      <c r="F60" s="269" t="s">
        <v>718</v>
      </c>
      <c r="G60" s="354"/>
      <c r="H60" s="353"/>
      <c r="I60" s="228"/>
    </row>
    <row r="61" spans="1:9" ht="15.75">
      <c r="A61" s="206">
        <v>1</v>
      </c>
      <c r="B61" s="229">
        <v>2</v>
      </c>
      <c r="C61" s="229">
        <v>3</v>
      </c>
      <c r="D61" s="229">
        <v>4</v>
      </c>
      <c r="E61" s="229">
        <v>5</v>
      </c>
      <c r="F61" s="229">
        <v>6</v>
      </c>
      <c r="G61" s="231"/>
      <c r="H61" s="231"/>
      <c r="I61" s="231"/>
    </row>
    <row r="62" spans="1:9" ht="15.75">
      <c r="A62" s="206"/>
      <c r="B62" s="200"/>
      <c r="C62" s="206"/>
      <c r="D62" s="206"/>
      <c r="E62" s="206"/>
      <c r="F62" s="355"/>
      <c r="G62" s="278"/>
      <c r="H62" s="278"/>
      <c r="I62" s="192"/>
    </row>
    <row r="63" spans="1:9" ht="15.75">
      <c r="A63" s="206"/>
      <c r="B63" s="200"/>
      <c r="C63" s="206"/>
      <c r="D63" s="206"/>
      <c r="E63" s="206"/>
      <c r="F63" s="356"/>
      <c r="G63" s="278"/>
      <c r="H63" s="278"/>
      <c r="I63" s="192"/>
    </row>
    <row r="64" spans="1:9" ht="15.75">
      <c r="A64" s="650" t="s">
        <v>571</v>
      </c>
      <c r="B64" s="652"/>
      <c r="C64" s="200" t="s">
        <v>562</v>
      </c>
      <c r="D64" s="200" t="s">
        <v>562</v>
      </c>
      <c r="E64" s="200" t="s">
        <v>562</v>
      </c>
      <c r="F64" s="356">
        <f>SUM(F62:F63)</f>
        <v>0</v>
      </c>
      <c r="G64" s="278"/>
      <c r="H64" s="278"/>
      <c r="I64" s="192"/>
    </row>
    <row r="66" spans="2:9" ht="33" customHeight="1">
      <c r="B66" s="727" t="s">
        <v>576</v>
      </c>
      <c r="C66" s="727"/>
      <c r="D66" s="727"/>
      <c r="E66" s="727"/>
      <c r="F66" s="727"/>
      <c r="G66" s="727"/>
      <c r="H66" s="727"/>
      <c r="I66" s="727"/>
    </row>
    <row r="68" spans="1:9" ht="31.5" customHeight="1">
      <c r="A68" s="671" t="s">
        <v>545</v>
      </c>
      <c r="B68" s="653" t="s">
        <v>577</v>
      </c>
      <c r="C68" s="653"/>
      <c r="D68" s="653"/>
      <c r="E68" s="677" t="s">
        <v>578</v>
      </c>
      <c r="F68" s="227" t="s">
        <v>579</v>
      </c>
      <c r="G68" s="353"/>
      <c r="H68" s="353"/>
      <c r="I68" s="234"/>
    </row>
    <row r="69" spans="1:9" ht="31.5" customHeight="1">
      <c r="A69" s="672"/>
      <c r="B69" s="653"/>
      <c r="C69" s="653"/>
      <c r="D69" s="653"/>
      <c r="E69" s="678"/>
      <c r="F69" s="269" t="s">
        <v>718</v>
      </c>
      <c r="G69" s="354"/>
      <c r="H69" s="353"/>
      <c r="I69" s="228"/>
    </row>
    <row r="70" spans="1:9" ht="17.25" customHeight="1">
      <c r="A70" s="235">
        <v>1</v>
      </c>
      <c r="B70" s="726">
        <v>2</v>
      </c>
      <c r="C70" s="726"/>
      <c r="D70" s="726"/>
      <c r="E70" s="200">
        <v>3</v>
      </c>
      <c r="F70" s="200">
        <v>4</v>
      </c>
      <c r="G70" s="237"/>
      <c r="H70" s="237"/>
      <c r="I70" s="237"/>
    </row>
    <row r="71" spans="1:9" s="188" customFormat="1" ht="32.25" customHeight="1">
      <c r="A71" s="238">
        <v>1</v>
      </c>
      <c r="B71" s="723" t="s">
        <v>581</v>
      </c>
      <c r="C71" s="724"/>
      <c r="D71" s="725"/>
      <c r="E71" s="232" t="s">
        <v>562</v>
      </c>
      <c r="F71" s="355"/>
      <c r="G71" s="278"/>
      <c r="H71" s="278"/>
      <c r="I71" s="192"/>
    </row>
    <row r="72" spans="1:9" ht="34.5" customHeight="1">
      <c r="A72" s="238" t="s">
        <v>582</v>
      </c>
      <c r="B72" s="723" t="s">
        <v>583</v>
      </c>
      <c r="C72" s="724"/>
      <c r="D72" s="725"/>
      <c r="E72" s="239">
        <f>L18</f>
        <v>4495864.74</v>
      </c>
      <c r="F72" s="239">
        <f>ROUND(E72*22%,2)-0.19</f>
        <v>989090.05</v>
      </c>
      <c r="G72" s="192"/>
      <c r="H72" s="192"/>
      <c r="I72" s="192"/>
    </row>
    <row r="73" spans="1:9" ht="16.5" customHeight="1">
      <c r="A73" s="238" t="s">
        <v>584</v>
      </c>
      <c r="B73" s="723" t="s">
        <v>585</v>
      </c>
      <c r="C73" s="724"/>
      <c r="D73" s="725"/>
      <c r="E73" s="240">
        <v>0</v>
      </c>
      <c r="F73" s="239">
        <f aca="true" t="shared" si="1" ref="F73:F80">E73*22%</f>
        <v>0</v>
      </c>
      <c r="G73" s="192"/>
      <c r="H73" s="192"/>
      <c r="I73" s="192"/>
    </row>
    <row r="74" spans="1:9" ht="34.5" customHeight="1">
      <c r="A74" s="238" t="s">
        <v>586</v>
      </c>
      <c r="B74" s="723" t="s">
        <v>587</v>
      </c>
      <c r="C74" s="724"/>
      <c r="D74" s="725"/>
      <c r="E74" s="240">
        <v>0</v>
      </c>
      <c r="F74" s="239">
        <f t="shared" si="1"/>
        <v>0</v>
      </c>
      <c r="G74" s="192"/>
      <c r="H74" s="192"/>
      <c r="I74" s="192"/>
    </row>
    <row r="75" spans="1:9" ht="33" customHeight="1">
      <c r="A75" s="238" t="s">
        <v>588</v>
      </c>
      <c r="B75" s="723" t="s">
        <v>589</v>
      </c>
      <c r="C75" s="724"/>
      <c r="D75" s="725"/>
      <c r="E75" s="240" t="s">
        <v>562</v>
      </c>
      <c r="F75" s="239">
        <v>0</v>
      </c>
      <c r="G75" s="192"/>
      <c r="H75" s="192"/>
      <c r="I75" s="192"/>
    </row>
    <row r="76" spans="1:9" ht="41.25" customHeight="1">
      <c r="A76" s="238" t="s">
        <v>590</v>
      </c>
      <c r="B76" s="720" t="s">
        <v>591</v>
      </c>
      <c r="C76" s="721"/>
      <c r="D76" s="722"/>
      <c r="E76" s="239">
        <f>E72</f>
        <v>4495864.74</v>
      </c>
      <c r="F76" s="239">
        <f>ROUND(E76*2.9%,2)</f>
        <v>130380.08</v>
      </c>
      <c r="G76" s="192"/>
      <c r="H76" s="192"/>
      <c r="I76" s="192"/>
    </row>
    <row r="77" spans="1:9" ht="34.5" customHeight="1">
      <c r="A77" s="238" t="s">
        <v>592</v>
      </c>
      <c r="B77" s="723" t="s">
        <v>593</v>
      </c>
      <c r="C77" s="724"/>
      <c r="D77" s="725"/>
      <c r="E77" s="240">
        <v>0</v>
      </c>
      <c r="F77" s="239">
        <f t="shared" si="1"/>
        <v>0</v>
      </c>
      <c r="G77" s="192"/>
      <c r="H77" s="192"/>
      <c r="I77" s="192"/>
    </row>
    <row r="78" spans="1:9" ht="33.75" customHeight="1">
      <c r="A78" s="238" t="s">
        <v>594</v>
      </c>
      <c r="B78" s="723" t="s">
        <v>595</v>
      </c>
      <c r="C78" s="724"/>
      <c r="D78" s="725"/>
      <c r="E78" s="239">
        <f>E76</f>
        <v>4495864.74</v>
      </c>
      <c r="F78" s="239">
        <f>ROUND(E78*0.2%,2)</f>
        <v>8991.73</v>
      </c>
      <c r="G78" s="192"/>
      <c r="H78" s="192"/>
      <c r="I78" s="192"/>
    </row>
    <row r="79" spans="1:9" ht="33.75" customHeight="1">
      <c r="A79" s="238" t="s">
        <v>596</v>
      </c>
      <c r="B79" s="723" t="s">
        <v>597</v>
      </c>
      <c r="C79" s="724"/>
      <c r="D79" s="725"/>
      <c r="E79" s="240">
        <v>0</v>
      </c>
      <c r="F79" s="239">
        <f t="shared" si="1"/>
        <v>0</v>
      </c>
      <c r="G79" s="192"/>
      <c r="H79" s="192"/>
      <c r="I79" s="192"/>
    </row>
    <row r="80" spans="1:9" ht="39.75" customHeight="1">
      <c r="A80" s="238" t="s">
        <v>598</v>
      </c>
      <c r="B80" s="723" t="s">
        <v>597</v>
      </c>
      <c r="C80" s="724"/>
      <c r="D80" s="725"/>
      <c r="E80" s="240">
        <v>0</v>
      </c>
      <c r="F80" s="239">
        <f t="shared" si="1"/>
        <v>0</v>
      </c>
      <c r="G80" s="192"/>
      <c r="H80" s="192"/>
      <c r="I80" s="192"/>
    </row>
    <row r="81" spans="1:9" ht="30" customHeight="1">
      <c r="A81" s="238" t="s">
        <v>599</v>
      </c>
      <c r="B81" s="723" t="s">
        <v>600</v>
      </c>
      <c r="C81" s="724"/>
      <c r="D81" s="725"/>
      <c r="E81" s="239">
        <f>E78</f>
        <v>4495864.74</v>
      </c>
      <c r="F81" s="239">
        <f>ROUND(E81*5.1%,2)</f>
        <v>229289.1</v>
      </c>
      <c r="G81" s="192"/>
      <c r="H81" s="192"/>
      <c r="I81" s="192"/>
    </row>
    <row r="82" spans="1:9" ht="30" customHeight="1">
      <c r="A82" s="238"/>
      <c r="B82" s="723" t="s">
        <v>581</v>
      </c>
      <c r="C82" s="724"/>
      <c r="D82" s="725"/>
      <c r="E82" s="232" t="s">
        <v>562</v>
      </c>
      <c r="F82" s="355">
        <f>SUM(F83)</f>
        <v>270225.98</v>
      </c>
      <c r="G82" s="192"/>
      <c r="H82" s="192"/>
      <c r="I82" s="192"/>
    </row>
    <row r="83" spans="1:9" ht="30" customHeight="1">
      <c r="A83" s="238"/>
      <c r="B83" s="723" t="s">
        <v>583</v>
      </c>
      <c r="C83" s="724"/>
      <c r="D83" s="725"/>
      <c r="E83" s="232">
        <v>1228299.91</v>
      </c>
      <c r="F83" s="355">
        <v>270225.98</v>
      </c>
      <c r="G83" s="192"/>
      <c r="H83" s="192"/>
      <c r="I83" s="192"/>
    </row>
    <row r="84" spans="1:9" ht="30" customHeight="1">
      <c r="A84" s="238"/>
      <c r="B84" s="723" t="s">
        <v>585</v>
      </c>
      <c r="C84" s="724"/>
      <c r="D84" s="725"/>
      <c r="E84" s="206"/>
      <c r="F84" s="355"/>
      <c r="G84" s="192"/>
      <c r="H84" s="192"/>
      <c r="I84" s="192"/>
    </row>
    <row r="85" spans="1:9" ht="30" customHeight="1">
      <c r="A85" s="238"/>
      <c r="B85" s="723" t="s">
        <v>587</v>
      </c>
      <c r="C85" s="724"/>
      <c r="D85" s="725"/>
      <c r="E85" s="206"/>
      <c r="F85" s="355"/>
      <c r="G85" s="192"/>
      <c r="H85" s="192"/>
      <c r="I85" s="192"/>
    </row>
    <row r="86" spans="1:9" ht="30" customHeight="1">
      <c r="A86" s="238"/>
      <c r="B86" s="723" t="s">
        <v>589</v>
      </c>
      <c r="C86" s="724"/>
      <c r="D86" s="725"/>
      <c r="E86" s="232" t="s">
        <v>562</v>
      </c>
      <c r="F86" s="355">
        <f>SUM(F87+F89)</f>
        <v>38077.409999999996</v>
      </c>
      <c r="G86" s="192"/>
      <c r="H86" s="192"/>
      <c r="I86" s="192"/>
    </row>
    <row r="87" spans="1:9" ht="30" customHeight="1">
      <c r="A87" s="238"/>
      <c r="B87" s="723" t="s">
        <v>591</v>
      </c>
      <c r="C87" s="724"/>
      <c r="D87" s="725"/>
      <c r="E87" s="232">
        <v>1228299.91</v>
      </c>
      <c r="F87" s="355">
        <v>35620.81</v>
      </c>
      <c r="G87" s="192"/>
      <c r="H87" s="192"/>
      <c r="I87" s="192"/>
    </row>
    <row r="88" spans="1:9" ht="30" customHeight="1">
      <c r="A88" s="238"/>
      <c r="B88" s="723" t="s">
        <v>593</v>
      </c>
      <c r="C88" s="724"/>
      <c r="D88" s="725"/>
      <c r="E88" s="206"/>
      <c r="F88" s="355"/>
      <c r="G88" s="192"/>
      <c r="H88" s="192"/>
      <c r="I88" s="192"/>
    </row>
    <row r="89" spans="1:9" ht="30" customHeight="1">
      <c r="A89" s="238"/>
      <c r="B89" s="723" t="s">
        <v>595</v>
      </c>
      <c r="C89" s="724"/>
      <c r="D89" s="725"/>
      <c r="E89" s="232">
        <v>1228299.91</v>
      </c>
      <c r="F89" s="355">
        <v>2456.6</v>
      </c>
      <c r="G89" s="192"/>
      <c r="H89" s="192"/>
      <c r="I89" s="192"/>
    </row>
    <row r="90" spans="1:9" ht="30" customHeight="1">
      <c r="A90" s="238"/>
      <c r="B90" s="723" t="s">
        <v>597</v>
      </c>
      <c r="C90" s="724"/>
      <c r="D90" s="725"/>
      <c r="E90" s="206"/>
      <c r="F90" s="355"/>
      <c r="G90" s="192"/>
      <c r="H90" s="192"/>
      <c r="I90" s="192"/>
    </row>
    <row r="91" spans="1:9" ht="30" customHeight="1">
      <c r="A91" s="238"/>
      <c r="B91" s="723" t="s">
        <v>597</v>
      </c>
      <c r="C91" s="724"/>
      <c r="D91" s="725"/>
      <c r="E91" s="206"/>
      <c r="F91" s="355"/>
      <c r="G91" s="192"/>
      <c r="H91" s="192"/>
      <c r="I91" s="192"/>
    </row>
    <row r="92" spans="1:9" ht="30" customHeight="1">
      <c r="A92" s="238"/>
      <c r="B92" s="723" t="s">
        <v>600</v>
      </c>
      <c r="C92" s="724"/>
      <c r="D92" s="725"/>
      <c r="E92" s="232">
        <v>1228299.91</v>
      </c>
      <c r="F92" s="355">
        <v>62643.3</v>
      </c>
      <c r="G92" s="192"/>
      <c r="H92" s="192"/>
      <c r="I92" s="192"/>
    </row>
    <row r="93" spans="1:9" ht="30" customHeight="1">
      <c r="A93" s="238"/>
      <c r="B93" s="558"/>
      <c r="C93" s="559"/>
      <c r="D93" s="560"/>
      <c r="E93" s="239"/>
      <c r="F93" s="239"/>
      <c r="G93" s="192"/>
      <c r="H93" s="192"/>
      <c r="I93" s="192"/>
    </row>
    <row r="94" spans="1:9" ht="30.75" customHeight="1">
      <c r="A94" s="713" t="s">
        <v>571</v>
      </c>
      <c r="B94" s="713"/>
      <c r="C94" s="713"/>
      <c r="D94" s="713"/>
      <c r="E94" s="240" t="s">
        <v>562</v>
      </c>
      <c r="F94" s="241">
        <f>SUM(F72:F81)+F82+F86+F92</f>
        <v>1728697.6500000001</v>
      </c>
      <c r="G94" s="357"/>
      <c r="H94" s="357"/>
      <c r="I94" s="192"/>
    </row>
    <row r="95" spans="2:6" ht="16.5" customHeight="1">
      <c r="B95" s="243"/>
      <c r="C95" s="243"/>
      <c r="D95" s="243"/>
      <c r="E95" s="237"/>
      <c r="F95" s="192"/>
    </row>
    <row r="96" spans="2:9" ht="34.5" customHeight="1" hidden="1">
      <c r="B96" s="727" t="s">
        <v>855</v>
      </c>
      <c r="C96" s="727"/>
      <c r="D96" s="727"/>
      <c r="E96" s="727"/>
      <c r="F96" s="727"/>
      <c r="G96" s="727"/>
      <c r="H96" s="727"/>
      <c r="I96" s="727"/>
    </row>
    <row r="97" ht="16.5" customHeight="1" hidden="1"/>
    <row r="98" spans="1:9" ht="16.5" customHeight="1" hidden="1">
      <c r="A98" s="671" t="s">
        <v>545</v>
      </c>
      <c r="B98" s="653" t="s">
        <v>577</v>
      </c>
      <c r="C98" s="653"/>
      <c r="D98" s="653"/>
      <c r="E98" s="677" t="s">
        <v>578</v>
      </c>
      <c r="F98" s="227" t="s">
        <v>579</v>
      </c>
      <c r="G98" s="353"/>
      <c r="H98" s="353"/>
      <c r="I98" s="234"/>
    </row>
    <row r="99" spans="1:9" ht="16.5" customHeight="1" hidden="1">
      <c r="A99" s="672"/>
      <c r="B99" s="653"/>
      <c r="C99" s="653"/>
      <c r="D99" s="653"/>
      <c r="E99" s="678"/>
      <c r="F99" s="269" t="s">
        <v>718</v>
      </c>
      <c r="G99" s="354"/>
      <c r="H99" s="353"/>
      <c r="I99" s="228"/>
    </row>
    <row r="100" spans="1:9" ht="16.5" customHeight="1" hidden="1">
      <c r="A100" s="235">
        <v>1</v>
      </c>
      <c r="B100" s="726">
        <v>2</v>
      </c>
      <c r="C100" s="726"/>
      <c r="D100" s="726"/>
      <c r="E100" s="200">
        <v>3</v>
      </c>
      <c r="F100" s="200">
        <v>4</v>
      </c>
      <c r="G100" s="237"/>
      <c r="H100" s="237"/>
      <c r="I100" s="237"/>
    </row>
    <row r="101" spans="1:9" s="188" customFormat="1" ht="19.5" customHeight="1" hidden="1">
      <c r="A101" s="238">
        <v>1</v>
      </c>
      <c r="B101" s="723" t="s">
        <v>581</v>
      </c>
      <c r="C101" s="724"/>
      <c r="D101" s="725"/>
      <c r="E101" s="232" t="s">
        <v>562</v>
      </c>
      <c r="F101" s="355"/>
      <c r="G101" s="278"/>
      <c r="H101" s="278"/>
      <c r="I101" s="192"/>
    </row>
    <row r="102" spans="1:9" ht="33" customHeight="1" hidden="1">
      <c r="A102" s="238" t="s">
        <v>582</v>
      </c>
      <c r="B102" s="723" t="s">
        <v>583</v>
      </c>
      <c r="C102" s="724"/>
      <c r="D102" s="725"/>
      <c r="E102" s="232">
        <v>1228299.91</v>
      </c>
      <c r="F102" s="355"/>
      <c r="G102" s="192"/>
      <c r="H102" s="192"/>
      <c r="I102" s="192"/>
    </row>
    <row r="103" spans="1:9" ht="15.75" hidden="1">
      <c r="A103" s="238" t="s">
        <v>584</v>
      </c>
      <c r="B103" s="723" t="s">
        <v>585</v>
      </c>
      <c r="C103" s="724"/>
      <c r="D103" s="725"/>
      <c r="E103" s="206"/>
      <c r="F103" s="355"/>
      <c r="G103" s="192"/>
      <c r="H103" s="192"/>
      <c r="I103" s="192"/>
    </row>
    <row r="104" spans="1:9" ht="39.75" customHeight="1" hidden="1">
      <c r="A104" s="238" t="s">
        <v>586</v>
      </c>
      <c r="B104" s="723" t="s">
        <v>587</v>
      </c>
      <c r="C104" s="724"/>
      <c r="D104" s="725"/>
      <c r="E104" s="206"/>
      <c r="F104" s="355"/>
      <c r="G104" s="192"/>
      <c r="H104" s="192"/>
      <c r="I104" s="192"/>
    </row>
    <row r="105" spans="1:9" ht="36" customHeight="1" hidden="1">
      <c r="A105" s="238" t="s">
        <v>588</v>
      </c>
      <c r="B105" s="723" t="s">
        <v>589</v>
      </c>
      <c r="C105" s="724"/>
      <c r="D105" s="725"/>
      <c r="E105" s="232" t="s">
        <v>562</v>
      </c>
      <c r="F105" s="355"/>
      <c r="G105" s="192"/>
      <c r="H105" s="192"/>
      <c r="I105" s="192"/>
    </row>
    <row r="106" spans="1:9" ht="45" customHeight="1" hidden="1">
      <c r="A106" s="238" t="s">
        <v>590</v>
      </c>
      <c r="B106" s="723" t="s">
        <v>591</v>
      </c>
      <c r="C106" s="724"/>
      <c r="D106" s="725"/>
      <c r="E106" s="232">
        <v>1228299.91</v>
      </c>
      <c r="F106" s="355"/>
      <c r="G106" s="192"/>
      <c r="H106" s="192"/>
      <c r="I106" s="192"/>
    </row>
    <row r="107" spans="1:9" ht="27" customHeight="1" hidden="1">
      <c r="A107" s="238" t="s">
        <v>592</v>
      </c>
      <c r="B107" s="723" t="s">
        <v>593</v>
      </c>
      <c r="C107" s="724"/>
      <c r="D107" s="725"/>
      <c r="E107" s="206"/>
      <c r="F107" s="355"/>
      <c r="G107" s="192"/>
      <c r="H107" s="192"/>
      <c r="I107" s="192"/>
    </row>
    <row r="108" spans="1:9" ht="25.5" customHeight="1" hidden="1">
      <c r="A108" s="238" t="s">
        <v>594</v>
      </c>
      <c r="B108" s="723" t="s">
        <v>595</v>
      </c>
      <c r="C108" s="724"/>
      <c r="D108" s="725"/>
      <c r="E108" s="232">
        <v>1228299.91</v>
      </c>
      <c r="F108" s="355"/>
      <c r="G108" s="192"/>
      <c r="H108" s="192"/>
      <c r="I108" s="192"/>
    </row>
    <row r="109" spans="1:9" ht="30.75" customHeight="1" hidden="1">
      <c r="A109" s="238" t="s">
        <v>596</v>
      </c>
      <c r="B109" s="723" t="s">
        <v>597</v>
      </c>
      <c r="C109" s="724"/>
      <c r="D109" s="725"/>
      <c r="E109" s="206"/>
      <c r="F109" s="355"/>
      <c r="G109" s="192"/>
      <c r="H109" s="192"/>
      <c r="I109" s="192"/>
    </row>
    <row r="110" spans="1:9" ht="33" customHeight="1" hidden="1">
      <c r="A110" s="238" t="s">
        <v>598</v>
      </c>
      <c r="B110" s="723" t="s">
        <v>597</v>
      </c>
      <c r="C110" s="724"/>
      <c r="D110" s="725"/>
      <c r="E110" s="206"/>
      <c r="F110" s="355"/>
      <c r="G110" s="192"/>
      <c r="H110" s="192"/>
      <c r="I110" s="192"/>
    </row>
    <row r="111" spans="1:9" ht="30.75" customHeight="1" hidden="1">
      <c r="A111" s="238" t="s">
        <v>599</v>
      </c>
      <c r="B111" s="723" t="s">
        <v>600</v>
      </c>
      <c r="C111" s="724"/>
      <c r="D111" s="725"/>
      <c r="E111" s="232">
        <v>1228299.91</v>
      </c>
      <c r="F111" s="355"/>
      <c r="G111" s="192"/>
      <c r="H111" s="192"/>
      <c r="I111" s="192"/>
    </row>
    <row r="112" spans="1:9" ht="16.5" customHeight="1" hidden="1">
      <c r="A112" s="713" t="s">
        <v>571</v>
      </c>
      <c r="B112" s="713"/>
      <c r="C112" s="713"/>
      <c r="D112" s="713"/>
      <c r="E112" s="200" t="s">
        <v>562</v>
      </c>
      <c r="F112" s="374">
        <f>F101+F105+F111</f>
        <v>0</v>
      </c>
      <c r="G112" s="357"/>
      <c r="H112" s="357"/>
      <c r="I112" s="192"/>
    </row>
    <row r="113" spans="2:6" ht="16.5" customHeight="1">
      <c r="B113" s="243"/>
      <c r="C113" s="243"/>
      <c r="D113" s="243"/>
      <c r="E113" s="237"/>
      <c r="F113" s="192"/>
    </row>
    <row r="114" spans="2:6" ht="16.5" customHeight="1">
      <c r="B114" s="243"/>
      <c r="C114" s="243"/>
      <c r="D114" s="243"/>
      <c r="E114" s="237"/>
      <c r="F114" s="192"/>
    </row>
    <row r="115" spans="1:11" ht="99" customHeight="1">
      <c r="A115" s="714" t="s">
        <v>601</v>
      </c>
      <c r="B115" s="714"/>
      <c r="C115" s="714"/>
      <c r="D115" s="714"/>
      <c r="E115" s="714"/>
      <c r="F115" s="714"/>
      <c r="G115" s="714"/>
      <c r="H115" s="714"/>
      <c r="I115" s="714"/>
      <c r="J115" s="714"/>
      <c r="K115" s="714"/>
    </row>
    <row r="116" spans="2:6" ht="21" customHeight="1">
      <c r="B116" s="715"/>
      <c r="C116" s="715"/>
      <c r="D116" s="715"/>
      <c r="E116" s="715"/>
      <c r="F116" s="715"/>
    </row>
    <row r="117" spans="1:11" s="245" customFormat="1" ht="27" customHeight="1">
      <c r="A117" s="704" t="s">
        <v>602</v>
      </c>
      <c r="B117" s="704"/>
      <c r="C117" s="704"/>
      <c r="D117" s="704"/>
      <c r="E117" s="704"/>
      <c r="F117" s="704"/>
      <c r="G117" s="704"/>
      <c r="H117" s="704"/>
      <c r="I117" s="704"/>
      <c r="J117" s="704"/>
      <c r="K117" s="704"/>
    </row>
    <row r="118" spans="1:11" s="245" customFormat="1" ht="16.5" customHeight="1">
      <c r="A118" s="244"/>
      <c r="B118" s="244"/>
      <c r="C118" s="244"/>
      <c r="D118" s="244"/>
      <c r="E118" s="244"/>
      <c r="F118" s="244"/>
      <c r="G118" s="244"/>
      <c r="H118" s="244"/>
      <c r="I118" s="244"/>
      <c r="J118" s="244"/>
      <c r="K118" s="244"/>
    </row>
    <row r="119" spans="2:31" ht="15.75" customHeight="1">
      <c r="B119" s="186" t="s">
        <v>603</v>
      </c>
      <c r="K119" s="192"/>
      <c r="L119" s="192"/>
      <c r="M119" s="192"/>
      <c r="N119" s="192"/>
      <c r="O119" s="192"/>
      <c r="P119" s="192"/>
      <c r="Q119" s="192"/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</row>
    <row r="120" spans="2:31" ht="15.75" customHeight="1">
      <c r="B120" s="186"/>
      <c r="K120" s="192"/>
      <c r="L120" s="192"/>
      <c r="M120" s="192"/>
      <c r="N120" s="192"/>
      <c r="O120" s="192"/>
      <c r="P120" s="192"/>
      <c r="Q120" s="192"/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2:31" ht="15.75" customHeight="1">
      <c r="B121" s="186" t="s">
        <v>714</v>
      </c>
      <c r="D121" s="193" t="s">
        <v>715</v>
      </c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2:31" ht="15.75" customHeight="1">
      <c r="B122" s="186"/>
      <c r="K122" s="192"/>
      <c r="L122" s="192"/>
      <c r="M122" s="192"/>
      <c r="N122" s="192"/>
      <c r="O122" s="192"/>
      <c r="P122" s="192"/>
      <c r="Q122" s="192"/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9" s="245" customFormat="1" ht="33.75" customHeight="1">
      <c r="A123" s="671" t="s">
        <v>545</v>
      </c>
      <c r="B123" s="716" t="s">
        <v>1</v>
      </c>
      <c r="C123" s="716"/>
      <c r="D123" s="716"/>
      <c r="E123" s="716" t="s">
        <v>605</v>
      </c>
      <c r="F123" s="716" t="s">
        <v>606</v>
      </c>
      <c r="G123" s="227" t="s">
        <v>579</v>
      </c>
      <c r="H123" s="353"/>
      <c r="I123" s="353"/>
    </row>
    <row r="124" spans="1:49" s="245" customFormat="1" ht="51" customHeight="1">
      <c r="A124" s="672"/>
      <c r="B124" s="716"/>
      <c r="C124" s="716"/>
      <c r="D124" s="716"/>
      <c r="E124" s="716"/>
      <c r="F124" s="716"/>
      <c r="G124" s="227" t="s">
        <v>719</v>
      </c>
      <c r="H124" s="353"/>
      <c r="I124" s="353"/>
      <c r="L124" s="247"/>
      <c r="M124" s="247"/>
      <c r="N124" s="247"/>
      <c r="O124" s="247"/>
      <c r="P124" s="247"/>
      <c r="Q124" s="247"/>
      <c r="R124" s="247"/>
      <c r="S124" s="247"/>
      <c r="T124" s="247"/>
      <c r="U124" s="247"/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47"/>
      <c r="AF124" s="247"/>
      <c r="AG124" s="247"/>
      <c r="AH124" s="247"/>
      <c r="AI124" s="247"/>
      <c r="AJ124" s="247"/>
      <c r="AK124" s="247"/>
      <c r="AL124" s="247"/>
      <c r="AM124" s="247"/>
      <c r="AN124" s="247"/>
      <c r="AO124" s="247"/>
      <c r="AP124" s="247"/>
      <c r="AQ124" s="247"/>
      <c r="AR124" s="247"/>
      <c r="AS124" s="247"/>
      <c r="AT124" s="247"/>
      <c r="AU124" s="247"/>
      <c r="AV124" s="247"/>
      <c r="AW124" s="247"/>
    </row>
    <row r="125" spans="1:49" s="245" customFormat="1" ht="15.75">
      <c r="A125" s="248">
        <v>1</v>
      </c>
      <c r="B125" s="708">
        <v>2</v>
      </c>
      <c r="C125" s="708"/>
      <c r="D125" s="708"/>
      <c r="E125" s="248">
        <v>3</v>
      </c>
      <c r="F125" s="249">
        <v>4</v>
      </c>
      <c r="G125" s="250">
        <v>4</v>
      </c>
      <c r="H125" s="358"/>
      <c r="I125" s="358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</row>
    <row r="126" spans="1:49" s="245" customFormat="1" ht="32.25" customHeight="1">
      <c r="A126" s="252" t="s">
        <v>608</v>
      </c>
      <c r="B126" s="709"/>
      <c r="C126" s="709"/>
      <c r="D126" s="709"/>
      <c r="E126" s="253"/>
      <c r="F126" s="254"/>
      <c r="G126" s="355"/>
      <c r="H126" s="278"/>
      <c r="I126" s="278"/>
      <c r="L126" s="212"/>
      <c r="M126" s="212"/>
      <c r="N126" s="212"/>
      <c r="O126" s="212"/>
      <c r="P126" s="212"/>
      <c r="Q126" s="212"/>
      <c r="R126" s="212"/>
      <c r="S126" s="212"/>
      <c r="T126" s="212"/>
      <c r="U126" s="212"/>
      <c r="V126" s="212"/>
      <c r="W126" s="247"/>
      <c r="X126" s="247"/>
      <c r="Y126" s="247"/>
      <c r="Z126" s="247"/>
      <c r="AA126" s="247"/>
      <c r="AB126" s="247"/>
      <c r="AC126" s="247"/>
      <c r="AD126" s="247"/>
      <c r="AE126" s="247"/>
      <c r="AF126" s="247"/>
      <c r="AG126" s="247"/>
      <c r="AH126" s="247"/>
      <c r="AI126" s="247"/>
      <c r="AJ126" s="247"/>
      <c r="AK126" s="247"/>
      <c r="AL126" s="247"/>
      <c r="AM126" s="247"/>
      <c r="AN126" s="247"/>
      <c r="AO126" s="247"/>
      <c r="AP126" s="247"/>
      <c r="AQ126" s="247"/>
      <c r="AR126" s="247"/>
      <c r="AS126" s="247"/>
      <c r="AT126" s="247"/>
      <c r="AU126" s="247"/>
      <c r="AV126" s="247"/>
      <c r="AW126" s="247"/>
    </row>
    <row r="127" spans="1:49" s="245" customFormat="1" ht="30.75" customHeight="1">
      <c r="A127" s="252" t="s">
        <v>588</v>
      </c>
      <c r="B127" s="709"/>
      <c r="C127" s="709"/>
      <c r="D127" s="709"/>
      <c r="E127" s="253"/>
      <c r="F127" s="254"/>
      <c r="G127" s="355"/>
      <c r="H127" s="278"/>
      <c r="I127" s="278"/>
      <c r="L127" s="212"/>
      <c r="M127" s="212"/>
      <c r="N127" s="212"/>
      <c r="O127" s="212"/>
      <c r="P127" s="212"/>
      <c r="Q127" s="212"/>
      <c r="R127" s="212"/>
      <c r="S127" s="212"/>
      <c r="T127" s="212"/>
      <c r="U127" s="212"/>
      <c r="V127" s="212"/>
      <c r="W127" s="247"/>
      <c r="X127" s="247"/>
      <c r="Y127" s="247"/>
      <c r="Z127" s="247"/>
      <c r="AA127" s="247"/>
      <c r="AB127" s="247"/>
      <c r="AC127" s="247"/>
      <c r="AD127" s="247"/>
      <c r="AE127" s="247"/>
      <c r="AF127" s="247"/>
      <c r="AG127" s="247"/>
      <c r="AH127" s="247"/>
      <c r="AI127" s="247"/>
      <c r="AJ127" s="247"/>
      <c r="AK127" s="247"/>
      <c r="AL127" s="247"/>
      <c r="AM127" s="247"/>
      <c r="AN127" s="247"/>
      <c r="AO127" s="247"/>
      <c r="AP127" s="247"/>
      <c r="AQ127" s="247"/>
      <c r="AR127" s="247"/>
      <c r="AS127" s="247"/>
      <c r="AT127" s="247"/>
      <c r="AU127" s="247"/>
      <c r="AV127" s="247"/>
      <c r="AW127" s="247"/>
    </row>
    <row r="128" spans="1:49" s="245" customFormat="1" ht="15.75">
      <c r="A128" s="691" t="s">
        <v>561</v>
      </c>
      <c r="B128" s="754"/>
      <c r="C128" s="754"/>
      <c r="D128" s="692"/>
      <c r="E128" s="253" t="s">
        <v>562</v>
      </c>
      <c r="F128" s="255" t="s">
        <v>562</v>
      </c>
      <c r="G128" s="265">
        <f>SUM(G126:G127)</f>
        <v>0</v>
      </c>
      <c r="H128" s="278"/>
      <c r="I128" s="278"/>
      <c r="L128" s="212"/>
      <c r="M128" s="212"/>
      <c r="N128" s="212"/>
      <c r="O128" s="212"/>
      <c r="P128" s="212"/>
      <c r="Q128" s="212"/>
      <c r="R128" s="212"/>
      <c r="S128" s="212"/>
      <c r="T128" s="212"/>
      <c r="U128" s="212"/>
      <c r="V128" s="212"/>
      <c r="W128" s="256"/>
      <c r="X128" s="256"/>
      <c r="Y128" s="256"/>
      <c r="Z128" s="256"/>
      <c r="AA128" s="256"/>
      <c r="AB128" s="256"/>
      <c r="AC128" s="256"/>
      <c r="AD128" s="256"/>
      <c r="AE128" s="256"/>
      <c r="AF128" s="256"/>
      <c r="AG128" s="256"/>
      <c r="AH128" s="256"/>
      <c r="AI128" s="256"/>
      <c r="AJ128" s="256"/>
      <c r="AK128" s="256"/>
      <c r="AL128" s="256"/>
      <c r="AM128" s="256"/>
      <c r="AN128" s="256"/>
      <c r="AO128" s="256"/>
      <c r="AP128" s="256"/>
      <c r="AQ128" s="256"/>
      <c r="AR128" s="256"/>
      <c r="AS128" s="256"/>
      <c r="AT128" s="256"/>
      <c r="AU128" s="256"/>
      <c r="AV128" s="256"/>
      <c r="AW128" s="256"/>
    </row>
    <row r="129" spans="6:49" s="245" customFormat="1" ht="15.75">
      <c r="F129" s="257"/>
      <c r="G129" s="257"/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</row>
    <row r="130" spans="1:49" s="245" customFormat="1" ht="69" customHeight="1">
      <c r="A130" s="670" t="s">
        <v>609</v>
      </c>
      <c r="B130" s="670"/>
      <c r="C130" s="670"/>
      <c r="D130" s="670"/>
      <c r="E130" s="670"/>
      <c r="F130" s="670"/>
      <c r="G130" s="670"/>
      <c r="H130" s="670"/>
      <c r="I130" s="670"/>
      <c r="J130" s="670"/>
      <c r="K130" s="670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</row>
    <row r="131" s="245" customFormat="1" ht="15.75"/>
    <row r="132" spans="1:11" ht="15.75" customHeight="1">
      <c r="A132" s="704" t="s">
        <v>610</v>
      </c>
      <c r="B132" s="704"/>
      <c r="C132" s="704"/>
      <c r="D132" s="704"/>
      <c r="E132" s="704"/>
      <c r="F132" s="704"/>
      <c r="G132" s="704"/>
      <c r="H132" s="704"/>
      <c r="I132" s="704"/>
      <c r="J132" s="704"/>
      <c r="K132" s="704"/>
    </row>
    <row r="133" spans="1:11" ht="15.75" customHeight="1">
      <c r="A133" s="244"/>
      <c r="B133" s="244"/>
      <c r="C133" s="244"/>
      <c r="D133" s="244"/>
      <c r="E133" s="244"/>
      <c r="F133" s="244"/>
      <c r="G133" s="244"/>
      <c r="H133" s="244"/>
      <c r="I133" s="244"/>
      <c r="J133" s="244"/>
      <c r="K133" s="244"/>
    </row>
    <row r="134" spans="2:31" ht="15.75" customHeight="1">
      <c r="B134" s="186" t="s">
        <v>720</v>
      </c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2:31" ht="15.75" customHeight="1">
      <c r="B135" s="186"/>
      <c r="K135" s="192"/>
      <c r="L135" s="192"/>
      <c r="M135" s="192"/>
      <c r="N135" s="192"/>
      <c r="O135" s="192"/>
      <c r="P135" s="192"/>
      <c r="Q135" s="192"/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</row>
    <row r="136" spans="2:31" ht="15.75" customHeight="1">
      <c r="B136" s="186" t="s">
        <v>714</v>
      </c>
      <c r="D136" s="193" t="s">
        <v>715</v>
      </c>
      <c r="K136" s="192"/>
      <c r="L136" s="192"/>
      <c r="M136" s="192"/>
      <c r="N136" s="192"/>
      <c r="O136" s="192"/>
      <c r="P136" s="192"/>
      <c r="Q136" s="192"/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</row>
    <row r="137" spans="1:4" ht="15.75" customHeight="1">
      <c r="A137" s="194"/>
      <c r="B137" s="194"/>
      <c r="C137" s="194"/>
      <c r="D137" s="194"/>
    </row>
    <row r="138" spans="1:8" ht="33.75" customHeight="1">
      <c r="A138" s="671" t="s">
        <v>545</v>
      </c>
      <c r="B138" s="653" t="s">
        <v>612</v>
      </c>
      <c r="C138" s="653"/>
      <c r="D138" s="677" t="s">
        <v>613</v>
      </c>
      <c r="E138" s="677" t="s">
        <v>614</v>
      </c>
      <c r="F138" s="767" t="s">
        <v>579</v>
      </c>
      <c r="G138" s="768"/>
      <c r="H138" s="359"/>
    </row>
    <row r="139" spans="1:8" ht="69" customHeight="1">
      <c r="A139" s="672"/>
      <c r="B139" s="653"/>
      <c r="C139" s="653"/>
      <c r="D139" s="678"/>
      <c r="E139" s="678"/>
      <c r="F139" s="227" t="s">
        <v>721</v>
      </c>
      <c r="G139" s="227" t="s">
        <v>722</v>
      </c>
      <c r="H139" s="353"/>
    </row>
    <row r="140" spans="1:8" ht="15.75">
      <c r="A140" s="259">
        <v>1</v>
      </c>
      <c r="B140" s="700">
        <v>2</v>
      </c>
      <c r="C140" s="700"/>
      <c r="D140" s="259">
        <v>3</v>
      </c>
      <c r="E140" s="259">
        <v>4</v>
      </c>
      <c r="F140" s="259">
        <v>5</v>
      </c>
      <c r="G140" s="259">
        <v>6</v>
      </c>
      <c r="H140" s="360"/>
    </row>
    <row r="141" spans="1:8" ht="15.75">
      <c r="A141" s="200">
        <v>1</v>
      </c>
      <c r="B141" s="701" t="s">
        <v>616</v>
      </c>
      <c r="C141" s="701"/>
      <c r="D141" s="261">
        <v>195145.33</v>
      </c>
      <c r="E141" s="261">
        <v>1.5</v>
      </c>
      <c r="F141" s="232"/>
      <c r="G141" s="361">
        <f>ROUND(D141*E141,0.2)</f>
        <v>292718</v>
      </c>
      <c r="H141" s="362"/>
    </row>
    <row r="142" spans="1:8" ht="15.75">
      <c r="A142" s="200">
        <v>2</v>
      </c>
      <c r="B142" s="701" t="s">
        <v>617</v>
      </c>
      <c r="C142" s="701"/>
      <c r="D142" s="263"/>
      <c r="E142" s="263"/>
      <c r="F142" s="355"/>
      <c r="G142" s="355"/>
      <c r="H142" s="278"/>
    </row>
    <row r="143" spans="1:8" ht="33.75" customHeight="1">
      <c r="A143" s="200">
        <v>3</v>
      </c>
      <c r="B143" s="702" t="s">
        <v>618</v>
      </c>
      <c r="C143" s="702"/>
      <c r="D143" s="206"/>
      <c r="E143" s="206"/>
      <c r="F143" s="356"/>
      <c r="G143" s="355"/>
      <c r="H143" s="278"/>
    </row>
    <row r="144" spans="1:8" ht="15.75">
      <c r="A144" s="200">
        <v>4</v>
      </c>
      <c r="B144" s="701" t="s">
        <v>723</v>
      </c>
      <c r="C144" s="701"/>
      <c r="D144" s="206"/>
      <c r="E144" s="264"/>
      <c r="F144" s="356"/>
      <c r="G144" s="355">
        <v>3000</v>
      </c>
      <c r="H144" s="278"/>
    </row>
    <row r="145" spans="1:8" ht="15.75">
      <c r="A145" s="200">
        <v>5</v>
      </c>
      <c r="B145" s="769" t="s">
        <v>724</v>
      </c>
      <c r="C145" s="770"/>
      <c r="D145" s="206"/>
      <c r="E145" s="264"/>
      <c r="F145" s="356"/>
      <c r="G145" s="355">
        <f>20000+9000</f>
        <v>29000</v>
      </c>
      <c r="H145" s="278"/>
    </row>
    <row r="146" spans="1:8" ht="15.75">
      <c r="A146" s="200">
        <v>6</v>
      </c>
      <c r="B146" s="759" t="s">
        <v>616</v>
      </c>
      <c r="C146" s="759"/>
      <c r="D146" s="554">
        <v>79280149.9</v>
      </c>
      <c r="E146" s="554">
        <v>1.5</v>
      </c>
      <c r="F146" s="363">
        <v>0</v>
      </c>
      <c r="G146" s="363">
        <v>107028</v>
      </c>
      <c r="H146" s="278"/>
    </row>
    <row r="147" spans="1:8" ht="15.75">
      <c r="A147" s="235">
        <v>7</v>
      </c>
      <c r="B147" s="759" t="s">
        <v>617</v>
      </c>
      <c r="C147" s="759"/>
      <c r="D147" s="554" t="s">
        <v>754</v>
      </c>
      <c r="E147" s="554" t="s">
        <v>754</v>
      </c>
      <c r="F147" s="363">
        <v>0</v>
      </c>
      <c r="G147" s="363">
        <v>0</v>
      </c>
      <c r="H147" s="278"/>
    </row>
    <row r="148" spans="1:8" ht="15.75">
      <c r="A148" s="235">
        <v>8</v>
      </c>
      <c r="B148" s="760" t="s">
        <v>922</v>
      </c>
      <c r="C148" s="760"/>
      <c r="D148" s="406" t="s">
        <v>754</v>
      </c>
      <c r="E148" s="406" t="s">
        <v>754</v>
      </c>
      <c r="F148" s="363">
        <v>0</v>
      </c>
      <c r="G148" s="363">
        <v>30000</v>
      </c>
      <c r="H148" s="278"/>
    </row>
    <row r="149" spans="1:8" ht="15.75">
      <c r="A149" s="235"/>
      <c r="B149" s="553"/>
      <c r="C149" s="549"/>
      <c r="D149" s="206"/>
      <c r="E149" s="264"/>
      <c r="F149" s="356"/>
      <c r="G149" s="355"/>
      <c r="H149" s="278"/>
    </row>
    <row r="150" spans="1:8" ht="15.75">
      <c r="A150" s="684" t="s">
        <v>561</v>
      </c>
      <c r="B150" s="703"/>
      <c r="C150" s="685"/>
      <c r="D150" s="275"/>
      <c r="E150" s="266" t="s">
        <v>562</v>
      </c>
      <c r="F150" s="356"/>
      <c r="G150" s="363">
        <f>SUM(G141:G148)</f>
        <v>461746</v>
      </c>
      <c r="H150" s="278"/>
    </row>
    <row r="151" spans="1:7" ht="15.75">
      <c r="A151" s="192"/>
      <c r="B151" s="192"/>
      <c r="C151" s="192"/>
      <c r="D151" s="192"/>
      <c r="E151" s="192"/>
      <c r="F151" s="192"/>
      <c r="G151" s="192"/>
    </row>
    <row r="152" spans="1:11" ht="15.75" hidden="1">
      <c r="A152" s="704" t="s">
        <v>856</v>
      </c>
      <c r="B152" s="704"/>
      <c r="C152" s="704"/>
      <c r="D152" s="704"/>
      <c r="E152" s="704"/>
      <c r="F152" s="704"/>
      <c r="G152" s="704"/>
      <c r="H152" s="704"/>
      <c r="I152" s="704"/>
      <c r="J152" s="704"/>
      <c r="K152" s="704"/>
    </row>
    <row r="153" spans="1:11" ht="15.75" hidden="1">
      <c r="A153" s="244"/>
      <c r="B153" s="244"/>
      <c r="C153" s="244"/>
      <c r="D153" s="244"/>
      <c r="E153" s="244"/>
      <c r="F153" s="244"/>
      <c r="G153" s="244"/>
      <c r="H153" s="244"/>
      <c r="I153" s="244"/>
      <c r="J153" s="244"/>
      <c r="K153" s="244"/>
    </row>
    <row r="154" spans="2:29" ht="15.75" hidden="1">
      <c r="B154" s="186" t="s">
        <v>720</v>
      </c>
      <c r="K154" s="192"/>
      <c r="L154" s="192"/>
      <c r="M154" s="192"/>
      <c r="N154" s="192"/>
      <c r="O154" s="192"/>
      <c r="P154" s="192"/>
      <c r="Q154" s="192"/>
      <c r="R154" s="192"/>
      <c r="S154" s="192"/>
      <c r="T154" s="192"/>
      <c r="U154" s="192"/>
      <c r="V154" s="192"/>
      <c r="W154" s="192"/>
      <c r="X154" s="192"/>
      <c r="Y154" s="192"/>
      <c r="Z154" s="192"/>
      <c r="AA154" s="192"/>
      <c r="AB154" s="192"/>
      <c r="AC154" s="192"/>
    </row>
    <row r="155" spans="2:29" ht="15.75" hidden="1">
      <c r="B155" s="186"/>
      <c r="K155" s="192"/>
      <c r="L155" s="192"/>
      <c r="M155" s="192"/>
      <c r="N155" s="192"/>
      <c r="O155" s="192"/>
      <c r="P155" s="192"/>
      <c r="Q155" s="192"/>
      <c r="R155" s="192"/>
      <c r="S155" s="192"/>
      <c r="T155" s="192"/>
      <c r="U155" s="192"/>
      <c r="V155" s="192"/>
      <c r="W155" s="192"/>
      <c r="X155" s="192"/>
      <c r="Y155" s="192"/>
      <c r="Z155" s="192"/>
      <c r="AA155" s="192"/>
      <c r="AB155" s="192"/>
      <c r="AC155" s="192"/>
    </row>
    <row r="156" spans="2:29" ht="15.75" hidden="1">
      <c r="B156" s="186" t="s">
        <v>714</v>
      </c>
      <c r="D156" s="193" t="s">
        <v>715</v>
      </c>
      <c r="K156" s="192"/>
      <c r="L156" s="192"/>
      <c r="M156" s="192"/>
      <c r="N156" s="192"/>
      <c r="O156" s="192"/>
      <c r="P156" s="192"/>
      <c r="Q156" s="192"/>
      <c r="R156" s="192"/>
      <c r="S156" s="192"/>
      <c r="T156" s="192"/>
      <c r="U156" s="192"/>
      <c r="V156" s="192"/>
      <c r="W156" s="192"/>
      <c r="X156" s="192"/>
      <c r="Y156" s="192"/>
      <c r="Z156" s="192"/>
      <c r="AA156" s="192"/>
      <c r="AB156" s="192"/>
      <c r="AC156" s="192"/>
    </row>
    <row r="157" spans="1:4" ht="15.75" hidden="1">
      <c r="A157" s="194"/>
      <c r="B157" s="194"/>
      <c r="C157" s="194"/>
      <c r="D157" s="194"/>
    </row>
    <row r="158" spans="1:8" ht="15.75" hidden="1">
      <c r="A158" s="671" t="s">
        <v>545</v>
      </c>
      <c r="B158" s="653" t="s">
        <v>612</v>
      </c>
      <c r="C158" s="653"/>
      <c r="D158" s="677" t="s">
        <v>613</v>
      </c>
      <c r="E158" s="677" t="s">
        <v>614</v>
      </c>
      <c r="F158" s="767" t="s">
        <v>579</v>
      </c>
      <c r="G158" s="768"/>
      <c r="H158" s="359"/>
    </row>
    <row r="159" spans="1:8" ht="78.75" hidden="1">
      <c r="A159" s="672"/>
      <c r="B159" s="653"/>
      <c r="C159" s="653"/>
      <c r="D159" s="678"/>
      <c r="E159" s="678"/>
      <c r="F159" s="227" t="s">
        <v>721</v>
      </c>
      <c r="G159" s="227" t="s">
        <v>722</v>
      </c>
      <c r="H159" s="353"/>
    </row>
    <row r="160" spans="1:8" ht="15.75" hidden="1">
      <c r="A160" s="259">
        <v>1</v>
      </c>
      <c r="B160" s="700">
        <v>2</v>
      </c>
      <c r="C160" s="700"/>
      <c r="D160" s="259">
        <v>3</v>
      </c>
      <c r="E160" s="259">
        <v>4</v>
      </c>
      <c r="F160" s="259">
        <v>5</v>
      </c>
      <c r="G160" s="259">
        <v>6</v>
      </c>
      <c r="H160" s="360"/>
    </row>
    <row r="161" spans="1:8" ht="15.75" hidden="1">
      <c r="A161" s="200">
        <v>1</v>
      </c>
      <c r="B161" s="701" t="s">
        <v>616</v>
      </c>
      <c r="C161" s="701"/>
      <c r="D161" s="263">
        <v>79280149.9</v>
      </c>
      <c r="E161" s="263">
        <v>1.5</v>
      </c>
      <c r="F161" s="355">
        <v>0</v>
      </c>
      <c r="G161" s="355"/>
      <c r="H161" s="278"/>
    </row>
    <row r="162" spans="1:8" ht="15.75" hidden="1">
      <c r="A162" s="200">
        <v>2</v>
      </c>
      <c r="B162" s="701" t="s">
        <v>617</v>
      </c>
      <c r="C162" s="701"/>
      <c r="D162" s="263" t="s">
        <v>754</v>
      </c>
      <c r="E162" s="263" t="s">
        <v>754</v>
      </c>
      <c r="F162" s="355">
        <v>0</v>
      </c>
      <c r="G162" s="355"/>
      <c r="H162" s="278"/>
    </row>
    <row r="163" spans="1:8" ht="15.75" hidden="1">
      <c r="A163" s="200">
        <v>3</v>
      </c>
      <c r="B163" s="766" t="s">
        <v>922</v>
      </c>
      <c r="C163" s="766"/>
      <c r="D163" s="232" t="s">
        <v>754</v>
      </c>
      <c r="E163" s="232" t="s">
        <v>754</v>
      </c>
      <c r="F163" s="355">
        <v>0</v>
      </c>
      <c r="G163" s="355"/>
      <c r="H163" s="278"/>
    </row>
    <row r="164" spans="1:8" ht="15.75" hidden="1">
      <c r="A164" s="684" t="s">
        <v>561</v>
      </c>
      <c r="B164" s="703"/>
      <c r="C164" s="685"/>
      <c r="D164" s="275"/>
      <c r="E164" s="266" t="s">
        <v>562</v>
      </c>
      <c r="F164" s="356"/>
      <c r="G164" s="363">
        <f>SUM(G161:G163)</f>
        <v>0</v>
      </c>
      <c r="H164" s="278"/>
    </row>
    <row r="165" spans="1:7" ht="15.75">
      <c r="A165" s="192"/>
      <c r="B165" s="192"/>
      <c r="C165" s="192"/>
      <c r="D165" s="192"/>
      <c r="E165" s="192"/>
      <c r="F165" s="192"/>
      <c r="G165" s="192"/>
    </row>
    <row r="166" spans="1:11" ht="49.5" customHeight="1">
      <c r="A166" s="683" t="s">
        <v>619</v>
      </c>
      <c r="B166" s="683"/>
      <c r="C166" s="683"/>
      <c r="D166" s="683"/>
      <c r="E166" s="683"/>
      <c r="F166" s="683"/>
      <c r="G166" s="683"/>
      <c r="H166" s="683"/>
      <c r="I166" s="683"/>
      <c r="J166" s="683"/>
      <c r="K166" s="683"/>
    </row>
    <row r="167" spans="1:7" ht="15.75">
      <c r="A167" s="192"/>
      <c r="B167" s="192"/>
      <c r="C167" s="192"/>
      <c r="D167" s="192"/>
      <c r="E167" s="192"/>
      <c r="F167" s="192"/>
      <c r="G167" s="192"/>
    </row>
    <row r="168" spans="1:11" ht="15.75">
      <c r="A168" s="696" t="s">
        <v>620</v>
      </c>
      <c r="B168" s="696"/>
      <c r="C168" s="696"/>
      <c r="D168" s="696"/>
      <c r="E168" s="696"/>
      <c r="F168" s="696"/>
      <c r="G168" s="696"/>
      <c r="H168" s="696"/>
      <c r="I168" s="696"/>
      <c r="J168" s="696"/>
      <c r="K168" s="696"/>
    </row>
    <row r="169" spans="1:7" ht="17.25" customHeight="1">
      <c r="A169" s="699" t="s">
        <v>621</v>
      </c>
      <c r="B169" s="699"/>
      <c r="C169" s="699"/>
      <c r="D169" s="699"/>
      <c r="E169" s="699"/>
      <c r="F169" s="192"/>
      <c r="G169" s="192"/>
    </row>
    <row r="170" spans="2:31" ht="15.75" customHeight="1">
      <c r="B170" s="186" t="s">
        <v>713</v>
      </c>
      <c r="K170" s="192"/>
      <c r="L170" s="192"/>
      <c r="M170" s="192"/>
      <c r="N170" s="192"/>
      <c r="O170" s="192"/>
      <c r="P170" s="192"/>
      <c r="Q170" s="192"/>
      <c r="R170" s="192"/>
      <c r="S170" s="192"/>
      <c r="T170" s="192"/>
      <c r="U170" s="192"/>
      <c r="V170" s="192"/>
      <c r="W170" s="192"/>
      <c r="X170" s="192"/>
      <c r="Y170" s="192"/>
      <c r="Z170" s="192"/>
      <c r="AA170" s="192"/>
      <c r="AB170" s="192"/>
      <c r="AC170" s="192"/>
      <c r="AD170" s="192"/>
      <c r="AE170" s="192"/>
    </row>
    <row r="171" spans="2:31" ht="15.75" customHeight="1">
      <c r="B171" s="186"/>
      <c r="K171" s="192"/>
      <c r="L171" s="192"/>
      <c r="M171" s="192"/>
      <c r="N171" s="192"/>
      <c r="O171" s="192"/>
      <c r="P171" s="192"/>
      <c r="Q171" s="192"/>
      <c r="R171" s="192"/>
      <c r="S171" s="192"/>
      <c r="T171" s="192"/>
      <c r="U171" s="192"/>
      <c r="V171" s="192"/>
      <c r="W171" s="192"/>
      <c r="X171" s="192"/>
      <c r="Y171" s="192"/>
      <c r="Z171" s="192"/>
      <c r="AA171" s="192"/>
      <c r="AB171" s="192"/>
      <c r="AC171" s="192"/>
      <c r="AD171" s="192"/>
      <c r="AE171" s="192"/>
    </row>
    <row r="172" spans="2:31" ht="15.75" customHeight="1">
      <c r="B172" s="186" t="s">
        <v>714</v>
      </c>
      <c r="D172" s="186" t="s">
        <v>715</v>
      </c>
      <c r="K172" s="192"/>
      <c r="L172" s="192"/>
      <c r="M172" s="192"/>
      <c r="N172" s="192"/>
      <c r="O172" s="192"/>
      <c r="P172" s="192"/>
      <c r="Q172" s="192"/>
      <c r="R172" s="192"/>
      <c r="S172" s="192"/>
      <c r="T172" s="192"/>
      <c r="U172" s="192"/>
      <c r="V172" s="192"/>
      <c r="W172" s="192"/>
      <c r="X172" s="192"/>
      <c r="Y172" s="192"/>
      <c r="Z172" s="192"/>
      <c r="AA172" s="192"/>
      <c r="AB172" s="192"/>
      <c r="AC172" s="192"/>
      <c r="AD172" s="192"/>
      <c r="AE172" s="192"/>
    </row>
    <row r="173" spans="1:7" ht="17.25" customHeight="1">
      <c r="A173" s="268"/>
      <c r="B173" s="268"/>
      <c r="C173" s="268"/>
      <c r="D173" s="268"/>
      <c r="E173" s="268"/>
      <c r="F173" s="192"/>
      <c r="G173" s="192"/>
    </row>
    <row r="174" spans="1:8" ht="60.75" customHeight="1">
      <c r="A174" s="671" t="s">
        <v>545</v>
      </c>
      <c r="B174" s="686" t="s">
        <v>1</v>
      </c>
      <c r="C174" s="686" t="s">
        <v>605</v>
      </c>
      <c r="D174" s="686" t="s">
        <v>606</v>
      </c>
      <c r="E174" s="236" t="s">
        <v>725</v>
      </c>
      <c r="F174" s="237"/>
      <c r="G174" s="237"/>
      <c r="H174" s="257"/>
    </row>
    <row r="175" spans="1:50" ht="46.5" customHeight="1">
      <c r="A175" s="672"/>
      <c r="B175" s="686"/>
      <c r="C175" s="686"/>
      <c r="D175" s="686"/>
      <c r="E175" s="270" t="s">
        <v>726</v>
      </c>
      <c r="F175" s="364"/>
      <c r="G175" s="364"/>
      <c r="H175" s="272"/>
      <c r="I175" s="273"/>
      <c r="J175" s="247"/>
      <c r="K175" s="247"/>
      <c r="L175" s="247"/>
      <c r="M175" s="247"/>
      <c r="N175" s="247"/>
      <c r="O175" s="247"/>
      <c r="P175" s="247"/>
      <c r="Q175" s="247"/>
      <c r="R175" s="247"/>
      <c r="S175" s="247"/>
      <c r="T175" s="247"/>
      <c r="U175" s="247"/>
      <c r="V175" s="247"/>
      <c r="W175" s="247"/>
      <c r="X175" s="247"/>
      <c r="Y175" s="247"/>
      <c r="Z175" s="247"/>
      <c r="AA175" s="247"/>
      <c r="AB175" s="247"/>
      <c r="AC175" s="247"/>
      <c r="AD175" s="247"/>
      <c r="AE175" s="247"/>
      <c r="AF175" s="247"/>
      <c r="AG175" s="247"/>
      <c r="AH175" s="247"/>
      <c r="AI175" s="247"/>
      <c r="AJ175" s="247"/>
      <c r="AK175" s="247"/>
      <c r="AL175" s="247"/>
      <c r="AM175" s="247"/>
      <c r="AN175" s="247"/>
      <c r="AO175" s="247"/>
      <c r="AP175" s="247"/>
      <c r="AQ175" s="247"/>
      <c r="AR175" s="247"/>
      <c r="AS175" s="247"/>
      <c r="AT175" s="247"/>
      <c r="AU175" s="247"/>
      <c r="AV175" s="247"/>
      <c r="AW175" s="247"/>
      <c r="AX175" s="192"/>
    </row>
    <row r="176" spans="1:50" ht="14.25" customHeight="1">
      <c r="A176" s="229">
        <v>1</v>
      </c>
      <c r="B176" s="274">
        <v>2</v>
      </c>
      <c r="C176" s="274">
        <v>3</v>
      </c>
      <c r="D176" s="274">
        <v>4</v>
      </c>
      <c r="E176" s="274">
        <v>5</v>
      </c>
      <c r="F176" s="231"/>
      <c r="G176" s="231"/>
      <c r="H176" s="231"/>
      <c r="I176" s="205"/>
      <c r="J176" s="205"/>
      <c r="K176" s="205"/>
      <c r="L176" s="205"/>
      <c r="M176" s="205"/>
      <c r="N176" s="205"/>
      <c r="O176" s="205"/>
      <c r="P176" s="205"/>
      <c r="Q176" s="205"/>
      <c r="R176" s="205"/>
      <c r="S176" s="205"/>
      <c r="T176" s="205"/>
      <c r="U176" s="205"/>
      <c r="V176" s="205"/>
      <c r="W176" s="205"/>
      <c r="X176" s="205"/>
      <c r="Y176" s="205"/>
      <c r="Z176" s="205"/>
      <c r="AA176" s="205"/>
      <c r="AB176" s="205"/>
      <c r="AC176" s="205"/>
      <c r="AD176" s="205"/>
      <c r="AE176" s="205"/>
      <c r="AF176" s="205"/>
      <c r="AG176" s="205"/>
      <c r="AH176" s="205"/>
      <c r="AI176" s="205"/>
      <c r="AJ176" s="205"/>
      <c r="AK176" s="205"/>
      <c r="AL176" s="205"/>
      <c r="AM176" s="205"/>
      <c r="AN176" s="205"/>
      <c r="AO176" s="205"/>
      <c r="AP176" s="205"/>
      <c r="AQ176" s="205"/>
      <c r="AR176" s="205"/>
      <c r="AS176" s="205"/>
      <c r="AT176" s="205"/>
      <c r="AU176" s="205"/>
      <c r="AV176" s="205"/>
      <c r="AW176" s="205"/>
      <c r="AX176" s="192"/>
    </row>
    <row r="177" spans="1:50" ht="15.75">
      <c r="A177" s="200"/>
      <c r="B177" s="270"/>
      <c r="C177" s="275"/>
      <c r="D177" s="275"/>
      <c r="E177" s="265"/>
      <c r="F177" s="276"/>
      <c r="G177" s="276"/>
      <c r="H177" s="276"/>
      <c r="I177" s="212"/>
      <c r="J177" s="212"/>
      <c r="K177" s="212"/>
      <c r="L177" s="212"/>
      <c r="M177" s="212"/>
      <c r="N177" s="212"/>
      <c r="O177" s="212"/>
      <c r="P177" s="212"/>
      <c r="Q177" s="212"/>
      <c r="R177" s="212"/>
      <c r="S177" s="212"/>
      <c r="T177" s="212"/>
      <c r="U177" s="212"/>
      <c r="V177" s="212"/>
      <c r="W177" s="247"/>
      <c r="X177" s="247"/>
      <c r="Y177" s="247"/>
      <c r="Z177" s="247"/>
      <c r="AA177" s="247"/>
      <c r="AB177" s="247"/>
      <c r="AC177" s="247"/>
      <c r="AD177" s="247"/>
      <c r="AE177" s="247"/>
      <c r="AF177" s="247"/>
      <c r="AG177" s="247"/>
      <c r="AH177" s="247"/>
      <c r="AI177" s="247"/>
      <c r="AJ177" s="247"/>
      <c r="AK177" s="247"/>
      <c r="AL177" s="247"/>
      <c r="AM177" s="247"/>
      <c r="AN177" s="247"/>
      <c r="AO177" s="247"/>
      <c r="AP177" s="247"/>
      <c r="AQ177" s="247"/>
      <c r="AR177" s="247"/>
      <c r="AS177" s="247"/>
      <c r="AT177" s="247"/>
      <c r="AU177" s="247"/>
      <c r="AV177" s="247"/>
      <c r="AW177" s="247"/>
      <c r="AX177" s="192"/>
    </row>
    <row r="178" spans="1:50" ht="15.75">
      <c r="A178" s="200"/>
      <c r="B178" s="270"/>
      <c r="C178" s="275"/>
      <c r="D178" s="275"/>
      <c r="E178" s="265"/>
      <c r="F178" s="276"/>
      <c r="G178" s="276"/>
      <c r="H178" s="276"/>
      <c r="I178" s="212"/>
      <c r="J178" s="212"/>
      <c r="K178" s="212"/>
      <c r="L178" s="212"/>
      <c r="M178" s="212"/>
      <c r="N178" s="212"/>
      <c r="O178" s="212"/>
      <c r="P178" s="212"/>
      <c r="Q178" s="212"/>
      <c r="R178" s="212"/>
      <c r="S178" s="212"/>
      <c r="T178" s="212"/>
      <c r="U178" s="212"/>
      <c r="V178" s="212"/>
      <c r="W178" s="247"/>
      <c r="X178" s="247"/>
      <c r="Y178" s="247"/>
      <c r="Z178" s="247"/>
      <c r="AA178" s="247"/>
      <c r="AB178" s="247"/>
      <c r="AC178" s="247"/>
      <c r="AD178" s="247"/>
      <c r="AE178" s="247"/>
      <c r="AF178" s="247"/>
      <c r="AG178" s="247"/>
      <c r="AH178" s="247"/>
      <c r="AI178" s="247"/>
      <c r="AJ178" s="247"/>
      <c r="AK178" s="247"/>
      <c r="AL178" s="247"/>
      <c r="AM178" s="247"/>
      <c r="AN178" s="247"/>
      <c r="AO178" s="247"/>
      <c r="AP178" s="247"/>
      <c r="AQ178" s="247"/>
      <c r="AR178" s="247"/>
      <c r="AS178" s="247"/>
      <c r="AT178" s="247"/>
      <c r="AU178" s="247"/>
      <c r="AV178" s="247"/>
      <c r="AW178" s="247"/>
      <c r="AX178" s="192"/>
    </row>
    <row r="179" spans="1:50" ht="15.75">
      <c r="A179" s="684" t="s">
        <v>561</v>
      </c>
      <c r="B179" s="685"/>
      <c r="C179" s="275" t="s">
        <v>562</v>
      </c>
      <c r="D179" s="275" t="s">
        <v>562</v>
      </c>
      <c r="E179" s="265">
        <f>SUM(E177:E178)</f>
        <v>0</v>
      </c>
      <c r="F179" s="276"/>
      <c r="G179" s="276"/>
      <c r="H179" s="276"/>
      <c r="I179" s="212"/>
      <c r="J179" s="212"/>
      <c r="K179" s="212"/>
      <c r="L179" s="212"/>
      <c r="M179" s="212"/>
      <c r="N179" s="212"/>
      <c r="O179" s="212"/>
      <c r="P179" s="212"/>
      <c r="Q179" s="212"/>
      <c r="R179" s="212"/>
      <c r="S179" s="212"/>
      <c r="T179" s="212"/>
      <c r="U179" s="212"/>
      <c r="V179" s="212"/>
      <c r="W179" s="256"/>
      <c r="X179" s="256"/>
      <c r="Y179" s="256"/>
      <c r="Z179" s="256"/>
      <c r="AA179" s="256"/>
      <c r="AB179" s="256"/>
      <c r="AC179" s="256"/>
      <c r="AD179" s="256"/>
      <c r="AE179" s="256"/>
      <c r="AF179" s="256"/>
      <c r="AG179" s="256"/>
      <c r="AH179" s="256"/>
      <c r="AI179" s="256"/>
      <c r="AJ179" s="256"/>
      <c r="AK179" s="256"/>
      <c r="AL179" s="256"/>
      <c r="AM179" s="256"/>
      <c r="AN179" s="256"/>
      <c r="AO179" s="256"/>
      <c r="AP179" s="256"/>
      <c r="AQ179" s="256"/>
      <c r="AR179" s="256"/>
      <c r="AS179" s="256"/>
      <c r="AT179" s="256"/>
      <c r="AU179" s="256"/>
      <c r="AV179" s="256"/>
      <c r="AW179" s="256"/>
      <c r="AX179" s="192"/>
    </row>
    <row r="180" spans="1:50" ht="15.75">
      <c r="A180" s="277"/>
      <c r="B180" s="277"/>
      <c r="C180" s="276"/>
      <c r="D180" s="276"/>
      <c r="E180" s="276"/>
      <c r="F180" s="276"/>
      <c r="G180" s="276"/>
      <c r="H180" s="276"/>
      <c r="I180" s="212"/>
      <c r="J180" s="212"/>
      <c r="K180" s="212"/>
      <c r="L180" s="212"/>
      <c r="M180" s="212"/>
      <c r="N180" s="212"/>
      <c r="O180" s="212"/>
      <c r="P180" s="212"/>
      <c r="Q180" s="212"/>
      <c r="R180" s="212"/>
      <c r="S180" s="212"/>
      <c r="T180" s="212"/>
      <c r="U180" s="212"/>
      <c r="V180" s="212"/>
      <c r="W180" s="256"/>
      <c r="X180" s="256"/>
      <c r="Y180" s="256"/>
      <c r="Z180" s="256"/>
      <c r="AA180" s="256"/>
      <c r="AB180" s="256"/>
      <c r="AC180" s="256"/>
      <c r="AD180" s="256"/>
      <c r="AE180" s="256"/>
      <c r="AF180" s="256"/>
      <c r="AG180" s="256"/>
      <c r="AH180" s="256"/>
      <c r="AI180" s="256"/>
      <c r="AJ180" s="256"/>
      <c r="AK180" s="256"/>
      <c r="AL180" s="256"/>
      <c r="AM180" s="256"/>
      <c r="AN180" s="256"/>
      <c r="AO180" s="256"/>
      <c r="AP180" s="256"/>
      <c r="AQ180" s="256"/>
      <c r="AR180" s="256"/>
      <c r="AS180" s="256"/>
      <c r="AT180" s="256"/>
      <c r="AU180" s="256"/>
      <c r="AV180" s="256"/>
      <c r="AW180" s="256"/>
      <c r="AX180" s="192"/>
    </row>
    <row r="181" spans="1:50" ht="36" customHeight="1">
      <c r="A181" s="697" t="s">
        <v>623</v>
      </c>
      <c r="B181" s="697"/>
      <c r="C181" s="697"/>
      <c r="D181" s="697"/>
      <c r="E181" s="697"/>
      <c r="F181" s="697"/>
      <c r="G181" s="697"/>
      <c r="H181" s="697"/>
      <c r="I181" s="697"/>
      <c r="J181" s="697"/>
      <c r="K181" s="697"/>
      <c r="L181" s="212"/>
      <c r="M181" s="212"/>
      <c r="N181" s="212"/>
      <c r="O181" s="212"/>
      <c r="P181" s="212"/>
      <c r="Q181" s="212"/>
      <c r="R181" s="212"/>
      <c r="S181" s="212"/>
      <c r="T181" s="212"/>
      <c r="U181" s="212"/>
      <c r="V181" s="212"/>
      <c r="W181" s="256"/>
      <c r="X181" s="256"/>
      <c r="Y181" s="256"/>
      <c r="Z181" s="256"/>
      <c r="AA181" s="256"/>
      <c r="AB181" s="256"/>
      <c r="AC181" s="256"/>
      <c r="AD181" s="256"/>
      <c r="AE181" s="256"/>
      <c r="AF181" s="256"/>
      <c r="AG181" s="256"/>
      <c r="AH181" s="256"/>
      <c r="AI181" s="256"/>
      <c r="AJ181" s="256"/>
      <c r="AK181" s="256"/>
      <c r="AL181" s="256"/>
      <c r="AM181" s="256"/>
      <c r="AN181" s="256"/>
      <c r="AO181" s="256"/>
      <c r="AP181" s="256"/>
      <c r="AQ181" s="256"/>
      <c r="AR181" s="256"/>
      <c r="AS181" s="256"/>
      <c r="AT181" s="256"/>
      <c r="AU181" s="256"/>
      <c r="AV181" s="256"/>
      <c r="AW181" s="256"/>
      <c r="AX181" s="192"/>
    </row>
    <row r="182" spans="2:11" ht="15.75">
      <c r="B182" s="186"/>
      <c r="I182" s="192"/>
      <c r="J182" s="278"/>
      <c r="K182" s="278"/>
    </row>
    <row r="183" spans="1:12" ht="15.75" customHeight="1">
      <c r="A183" s="698" t="s">
        <v>624</v>
      </c>
      <c r="B183" s="698"/>
      <c r="C183" s="698"/>
      <c r="D183" s="698"/>
      <c r="E183" s="698"/>
      <c r="F183" s="698"/>
      <c r="G183" s="698"/>
      <c r="H183" s="698"/>
      <c r="I183" s="698"/>
      <c r="J183" s="698"/>
      <c r="K183" s="698"/>
      <c r="L183" s="280"/>
    </row>
    <row r="184" spans="1:12" ht="15.75" customHeight="1">
      <c r="A184" s="279"/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80"/>
    </row>
    <row r="185" spans="2:31" ht="15.75" customHeight="1">
      <c r="B185" s="186" t="s">
        <v>713</v>
      </c>
      <c r="K185" s="192"/>
      <c r="L185" s="192"/>
      <c r="M185" s="192"/>
      <c r="N185" s="192"/>
      <c r="O185" s="192"/>
      <c r="P185" s="192"/>
      <c r="Q185" s="192"/>
      <c r="R185" s="192"/>
      <c r="S185" s="192"/>
      <c r="T185" s="192"/>
      <c r="U185" s="192"/>
      <c r="V185" s="192"/>
      <c r="W185" s="192"/>
      <c r="X185" s="192"/>
      <c r="Y185" s="192"/>
      <c r="Z185" s="192"/>
      <c r="AA185" s="192"/>
      <c r="AB185" s="192"/>
      <c r="AC185" s="192"/>
      <c r="AD185" s="192"/>
      <c r="AE185" s="192"/>
    </row>
    <row r="186" spans="2:31" ht="15.75" customHeight="1">
      <c r="B186" s="186"/>
      <c r="K186" s="192"/>
      <c r="L186" s="192"/>
      <c r="M186" s="192"/>
      <c r="N186" s="192"/>
      <c r="O186" s="192"/>
      <c r="P186" s="192"/>
      <c r="Q186" s="192"/>
      <c r="R186" s="192"/>
      <c r="S186" s="192"/>
      <c r="T186" s="192"/>
      <c r="U186" s="192"/>
      <c r="V186" s="192"/>
      <c r="W186" s="192"/>
      <c r="X186" s="192"/>
      <c r="Y186" s="192"/>
      <c r="Z186" s="192"/>
      <c r="AA186" s="192"/>
      <c r="AB186" s="192"/>
      <c r="AC186" s="192"/>
      <c r="AD186" s="192"/>
      <c r="AE186" s="192"/>
    </row>
    <row r="187" spans="2:31" ht="15.75" customHeight="1">
      <c r="B187" s="186" t="s">
        <v>714</v>
      </c>
      <c r="D187" s="186" t="s">
        <v>715</v>
      </c>
      <c r="K187" s="192"/>
      <c r="L187" s="192"/>
      <c r="M187" s="192"/>
      <c r="N187" s="192"/>
      <c r="O187" s="192"/>
      <c r="P187" s="192"/>
      <c r="Q187" s="192"/>
      <c r="R187" s="192"/>
      <c r="S187" s="192"/>
      <c r="T187" s="192"/>
      <c r="U187" s="192"/>
      <c r="V187" s="192"/>
      <c r="W187" s="192"/>
      <c r="X187" s="192"/>
      <c r="Y187" s="192"/>
      <c r="Z187" s="192"/>
      <c r="AA187" s="192"/>
      <c r="AB187" s="192"/>
      <c r="AC187" s="192"/>
      <c r="AD187" s="192"/>
      <c r="AE187" s="192"/>
    </row>
    <row r="188" spans="1:12" ht="15.75" customHeight="1">
      <c r="A188" s="224"/>
      <c r="B188" s="224"/>
      <c r="C188" s="224"/>
      <c r="D188" s="224"/>
      <c r="E188" s="224"/>
      <c r="F188" s="224"/>
      <c r="G188" s="280"/>
      <c r="H188" s="280"/>
      <c r="I188" s="280"/>
      <c r="J188" s="280"/>
      <c r="K188" s="280"/>
      <c r="L188" s="280"/>
    </row>
    <row r="189" spans="1:8" ht="57.75" customHeight="1">
      <c r="A189" s="671" t="s">
        <v>545</v>
      </c>
      <c r="B189" s="686" t="s">
        <v>1</v>
      </c>
      <c r="C189" s="686" t="s">
        <v>605</v>
      </c>
      <c r="D189" s="686" t="s">
        <v>606</v>
      </c>
      <c r="E189" s="236" t="s">
        <v>727</v>
      </c>
      <c r="F189" s="237"/>
      <c r="G189" s="237"/>
      <c r="H189" s="257"/>
    </row>
    <row r="190" spans="1:50" ht="44.25" customHeight="1">
      <c r="A190" s="672"/>
      <c r="B190" s="686"/>
      <c r="C190" s="686"/>
      <c r="D190" s="686"/>
      <c r="E190" s="270" t="s">
        <v>728</v>
      </c>
      <c r="F190" s="364"/>
      <c r="G190" s="364"/>
      <c r="H190" s="272"/>
      <c r="I190" s="247"/>
      <c r="J190" s="247"/>
      <c r="K190" s="247"/>
      <c r="L190" s="247"/>
      <c r="M190" s="247"/>
      <c r="N190" s="247"/>
      <c r="O190" s="247"/>
      <c r="P190" s="247"/>
      <c r="Q190" s="247"/>
      <c r="R190" s="247"/>
      <c r="S190" s="247"/>
      <c r="T190" s="247"/>
      <c r="U190" s="247"/>
      <c r="V190" s="247"/>
      <c r="W190" s="247"/>
      <c r="X190" s="247"/>
      <c r="Y190" s="247"/>
      <c r="Z190" s="247"/>
      <c r="AA190" s="247"/>
      <c r="AB190" s="247"/>
      <c r="AC190" s="247"/>
      <c r="AD190" s="247"/>
      <c r="AE190" s="247"/>
      <c r="AF190" s="247"/>
      <c r="AG190" s="247"/>
      <c r="AH190" s="247"/>
      <c r="AI190" s="247"/>
      <c r="AJ190" s="247"/>
      <c r="AK190" s="247"/>
      <c r="AL190" s="247"/>
      <c r="AM190" s="247"/>
      <c r="AN190" s="247"/>
      <c r="AO190" s="247"/>
      <c r="AP190" s="247"/>
      <c r="AQ190" s="247"/>
      <c r="AR190" s="247"/>
      <c r="AS190" s="247"/>
      <c r="AT190" s="247"/>
      <c r="AU190" s="247"/>
      <c r="AV190" s="247"/>
      <c r="AW190" s="247"/>
      <c r="AX190" s="192"/>
    </row>
    <row r="191" spans="1:50" ht="12" customHeight="1">
      <c r="A191" s="281">
        <v>1</v>
      </c>
      <c r="B191" s="282">
        <v>2</v>
      </c>
      <c r="C191" s="282">
        <v>3</v>
      </c>
      <c r="D191" s="282">
        <v>4</v>
      </c>
      <c r="E191" s="274">
        <v>5</v>
      </c>
      <c r="F191" s="231"/>
      <c r="G191" s="231"/>
      <c r="H191" s="231"/>
      <c r="I191" s="205"/>
      <c r="J191" s="205"/>
      <c r="K191" s="205"/>
      <c r="L191" s="205"/>
      <c r="M191" s="205"/>
      <c r="N191" s="205"/>
      <c r="O191" s="205"/>
      <c r="P191" s="205"/>
      <c r="Q191" s="205"/>
      <c r="R191" s="205"/>
      <c r="S191" s="205"/>
      <c r="T191" s="205"/>
      <c r="U191" s="205"/>
      <c r="V191" s="205"/>
      <c r="W191" s="205"/>
      <c r="X191" s="205"/>
      <c r="Y191" s="205"/>
      <c r="Z191" s="205"/>
      <c r="AA191" s="205"/>
      <c r="AB191" s="205"/>
      <c r="AC191" s="205"/>
      <c r="AD191" s="205"/>
      <c r="AE191" s="205"/>
      <c r="AF191" s="205"/>
      <c r="AG191" s="205"/>
      <c r="AH191" s="205"/>
      <c r="AI191" s="205"/>
      <c r="AJ191" s="205"/>
      <c r="AK191" s="205"/>
      <c r="AL191" s="205"/>
      <c r="AM191" s="205"/>
      <c r="AN191" s="205"/>
      <c r="AO191" s="205"/>
      <c r="AP191" s="205"/>
      <c r="AQ191" s="205"/>
      <c r="AR191" s="205"/>
      <c r="AS191" s="205"/>
      <c r="AT191" s="205"/>
      <c r="AU191" s="205"/>
      <c r="AV191" s="205"/>
      <c r="AW191" s="205"/>
      <c r="AX191" s="192"/>
    </row>
    <row r="192" spans="1:50" ht="15.75">
      <c r="A192" s="200"/>
      <c r="B192" s="196"/>
      <c r="C192" s="202"/>
      <c r="D192" s="202"/>
      <c r="E192" s="265"/>
      <c r="F192" s="276"/>
      <c r="G192" s="365"/>
      <c r="H192" s="276"/>
      <c r="I192" s="212"/>
      <c r="J192" s="212"/>
      <c r="K192" s="212"/>
      <c r="L192" s="212"/>
      <c r="M192" s="212"/>
      <c r="N192" s="212"/>
      <c r="O192" s="212"/>
      <c r="P192" s="212"/>
      <c r="Q192" s="212"/>
      <c r="R192" s="212"/>
      <c r="S192" s="212"/>
      <c r="T192" s="212"/>
      <c r="U192" s="212"/>
      <c r="V192" s="212"/>
      <c r="W192" s="247"/>
      <c r="X192" s="247"/>
      <c r="Y192" s="247"/>
      <c r="Z192" s="247"/>
      <c r="AA192" s="247"/>
      <c r="AB192" s="247"/>
      <c r="AC192" s="247"/>
      <c r="AD192" s="247"/>
      <c r="AE192" s="247"/>
      <c r="AF192" s="247"/>
      <c r="AG192" s="247"/>
      <c r="AH192" s="247"/>
      <c r="AI192" s="247"/>
      <c r="AJ192" s="247"/>
      <c r="AK192" s="247"/>
      <c r="AL192" s="247"/>
      <c r="AM192" s="247"/>
      <c r="AN192" s="247"/>
      <c r="AO192" s="247"/>
      <c r="AP192" s="247"/>
      <c r="AQ192" s="247"/>
      <c r="AR192" s="247"/>
      <c r="AS192" s="247"/>
      <c r="AT192" s="247"/>
      <c r="AU192" s="247"/>
      <c r="AV192" s="247"/>
      <c r="AW192" s="247"/>
      <c r="AX192" s="192"/>
    </row>
    <row r="193" spans="1:50" ht="15.75">
      <c r="A193" s="200"/>
      <c r="B193" s="196"/>
      <c r="C193" s="202"/>
      <c r="D193" s="202"/>
      <c r="E193" s="265"/>
      <c r="F193" s="276"/>
      <c r="G193" s="365"/>
      <c r="H193" s="276"/>
      <c r="I193" s="212"/>
      <c r="J193" s="212"/>
      <c r="K193" s="212"/>
      <c r="L193" s="212"/>
      <c r="M193" s="212"/>
      <c r="N193" s="212"/>
      <c r="O193" s="212"/>
      <c r="P193" s="212"/>
      <c r="Q193" s="212"/>
      <c r="R193" s="212"/>
      <c r="S193" s="212"/>
      <c r="T193" s="212"/>
      <c r="U193" s="212"/>
      <c r="V193" s="212"/>
      <c r="W193" s="247"/>
      <c r="X193" s="247"/>
      <c r="Y193" s="247"/>
      <c r="Z193" s="247"/>
      <c r="AA193" s="247"/>
      <c r="AB193" s="247"/>
      <c r="AC193" s="247"/>
      <c r="AD193" s="247"/>
      <c r="AE193" s="247"/>
      <c r="AF193" s="247"/>
      <c r="AG193" s="247"/>
      <c r="AH193" s="247"/>
      <c r="AI193" s="247"/>
      <c r="AJ193" s="247"/>
      <c r="AK193" s="247"/>
      <c r="AL193" s="247"/>
      <c r="AM193" s="247"/>
      <c r="AN193" s="247"/>
      <c r="AO193" s="247"/>
      <c r="AP193" s="247"/>
      <c r="AQ193" s="247"/>
      <c r="AR193" s="247"/>
      <c r="AS193" s="247"/>
      <c r="AT193" s="247"/>
      <c r="AU193" s="247"/>
      <c r="AV193" s="247"/>
      <c r="AW193" s="247"/>
      <c r="AX193" s="192"/>
    </row>
    <row r="194" spans="1:50" ht="15.75">
      <c r="A194" s="684" t="s">
        <v>561</v>
      </c>
      <c r="B194" s="685"/>
      <c r="C194" s="202" t="s">
        <v>562</v>
      </c>
      <c r="D194" s="202" t="s">
        <v>562</v>
      </c>
      <c r="E194" s="265">
        <f>SUM(E192:E193)</f>
        <v>0</v>
      </c>
      <c r="F194" s="276"/>
      <c r="G194" s="365"/>
      <c r="H194" s="276"/>
      <c r="I194" s="212"/>
      <c r="J194" s="212"/>
      <c r="K194" s="212"/>
      <c r="L194" s="212"/>
      <c r="M194" s="212"/>
      <c r="N194" s="212"/>
      <c r="O194" s="212"/>
      <c r="P194" s="212"/>
      <c r="Q194" s="212"/>
      <c r="R194" s="212"/>
      <c r="S194" s="212"/>
      <c r="T194" s="212"/>
      <c r="U194" s="212"/>
      <c r="V194" s="212"/>
      <c r="W194" s="256"/>
      <c r="X194" s="256"/>
      <c r="Y194" s="256"/>
      <c r="Z194" s="256"/>
      <c r="AA194" s="256"/>
      <c r="AB194" s="256"/>
      <c r="AC194" s="256"/>
      <c r="AD194" s="256"/>
      <c r="AE194" s="256"/>
      <c r="AF194" s="256"/>
      <c r="AG194" s="256"/>
      <c r="AH194" s="256"/>
      <c r="AI194" s="256"/>
      <c r="AJ194" s="256"/>
      <c r="AK194" s="256"/>
      <c r="AL194" s="256"/>
      <c r="AM194" s="256"/>
      <c r="AN194" s="256"/>
      <c r="AO194" s="256"/>
      <c r="AP194" s="256"/>
      <c r="AQ194" s="256"/>
      <c r="AR194" s="256"/>
      <c r="AS194" s="256"/>
      <c r="AT194" s="256"/>
      <c r="AU194" s="256"/>
      <c r="AV194" s="256"/>
      <c r="AW194" s="256"/>
      <c r="AX194" s="192"/>
    </row>
    <row r="195" spans="1:50" ht="15.75">
      <c r="A195" s="237"/>
      <c r="B195" s="192"/>
      <c r="C195" s="237"/>
      <c r="D195" s="237"/>
      <c r="E195" s="237"/>
      <c r="F195" s="237"/>
      <c r="G195" s="192"/>
      <c r="H195" s="278"/>
      <c r="I195" s="278"/>
      <c r="J195" s="192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  <c r="AF195" s="192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92"/>
      <c r="AT195" s="192"/>
      <c r="AU195" s="192"/>
      <c r="AV195" s="192"/>
      <c r="AW195" s="192"/>
      <c r="AX195" s="192"/>
    </row>
    <row r="196" spans="1:50" ht="39" customHeight="1">
      <c r="A196" s="683" t="s">
        <v>625</v>
      </c>
      <c r="B196" s="683"/>
      <c r="C196" s="683"/>
      <c r="D196" s="683"/>
      <c r="E196" s="683"/>
      <c r="F196" s="683"/>
      <c r="G196" s="683"/>
      <c r="H196" s="683"/>
      <c r="I196" s="683"/>
      <c r="J196" s="683"/>
      <c r="K196" s="683"/>
      <c r="L196" s="192"/>
      <c r="M196" s="192"/>
      <c r="N196" s="192"/>
      <c r="O196" s="192"/>
      <c r="P196" s="192"/>
      <c r="Q196" s="192"/>
      <c r="R196" s="192"/>
      <c r="S196" s="192"/>
      <c r="T196" s="192"/>
      <c r="U196" s="192"/>
      <c r="V196" s="192"/>
      <c r="W196" s="192"/>
      <c r="X196" s="192"/>
      <c r="Y196" s="192"/>
      <c r="Z196" s="192"/>
      <c r="AA196" s="192"/>
      <c r="AB196" s="192"/>
      <c r="AC196" s="192"/>
      <c r="AD196" s="192"/>
      <c r="AE196" s="192"/>
      <c r="AF196" s="192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92"/>
      <c r="AT196" s="192"/>
      <c r="AU196" s="192"/>
      <c r="AV196" s="192"/>
      <c r="AW196" s="192"/>
      <c r="AX196" s="192"/>
    </row>
    <row r="197" spans="1:50" ht="15.75">
      <c r="A197" s="237"/>
      <c r="B197" s="192"/>
      <c r="C197" s="237"/>
      <c r="D197" s="237"/>
      <c r="E197" s="237"/>
      <c r="F197" s="237"/>
      <c r="G197" s="192"/>
      <c r="H197" s="278"/>
      <c r="I197" s="278"/>
      <c r="J197" s="192"/>
      <c r="K197" s="192"/>
      <c r="L197" s="192"/>
      <c r="M197" s="192"/>
      <c r="N197" s="192"/>
      <c r="O197" s="192"/>
      <c r="P197" s="192"/>
      <c r="Q197" s="192"/>
      <c r="R197" s="192"/>
      <c r="S197" s="192"/>
      <c r="T197" s="192"/>
      <c r="U197" s="192"/>
      <c r="V197" s="192"/>
      <c r="W197" s="192"/>
      <c r="X197" s="192"/>
      <c r="Y197" s="192"/>
      <c r="Z197" s="192"/>
      <c r="AA197" s="192"/>
      <c r="AB197" s="192"/>
      <c r="AC197" s="192"/>
      <c r="AD197" s="192"/>
      <c r="AE197" s="192"/>
      <c r="AF197" s="192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92"/>
      <c r="AT197" s="192"/>
      <c r="AU197" s="192"/>
      <c r="AV197" s="192"/>
      <c r="AW197" s="192"/>
      <c r="AX197" s="192"/>
    </row>
    <row r="198" spans="1:11" ht="15.75">
      <c r="A198" s="696" t="s">
        <v>626</v>
      </c>
      <c r="B198" s="696"/>
      <c r="C198" s="696"/>
      <c r="D198" s="696"/>
      <c r="E198" s="696"/>
      <c r="F198" s="696"/>
      <c r="G198" s="696"/>
      <c r="H198" s="696"/>
      <c r="I198" s="696"/>
      <c r="J198" s="696"/>
      <c r="K198" s="696"/>
    </row>
    <row r="199" spans="1:10" ht="15.75">
      <c r="A199" s="237"/>
      <c r="B199" s="192"/>
      <c r="C199" s="237"/>
      <c r="D199" s="237"/>
      <c r="E199" s="237"/>
      <c r="F199" s="237"/>
      <c r="G199" s="192"/>
      <c r="H199" s="278"/>
      <c r="I199" s="278"/>
      <c r="J199" s="192"/>
    </row>
    <row r="200" spans="2:31" ht="15.75" customHeight="1">
      <c r="B200" s="186" t="s">
        <v>627</v>
      </c>
      <c r="K200" s="192"/>
      <c r="L200" s="192"/>
      <c r="M200" s="192"/>
      <c r="N200" s="192"/>
      <c r="O200" s="192"/>
      <c r="P200" s="192"/>
      <c r="Q200" s="192"/>
      <c r="R200" s="192"/>
      <c r="S200" s="192"/>
      <c r="T200" s="192"/>
      <c r="U200" s="192"/>
      <c r="V200" s="192"/>
      <c r="W200" s="192"/>
      <c r="X200" s="192"/>
      <c r="Y200" s="192"/>
      <c r="Z200" s="192"/>
      <c r="AA200" s="192"/>
      <c r="AB200" s="192"/>
      <c r="AC200" s="192"/>
      <c r="AD200" s="192"/>
      <c r="AE200" s="192"/>
    </row>
    <row r="201" spans="2:31" ht="15.75" customHeight="1">
      <c r="B201" s="186"/>
      <c r="K201" s="192"/>
      <c r="L201" s="192"/>
      <c r="M201" s="192"/>
      <c r="N201" s="192"/>
      <c r="O201" s="192"/>
      <c r="P201" s="192"/>
      <c r="Q201" s="192"/>
      <c r="R201" s="192"/>
      <c r="S201" s="192"/>
      <c r="T201" s="192"/>
      <c r="U201" s="192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</row>
    <row r="202" spans="2:31" ht="15.75" customHeight="1">
      <c r="B202" s="186" t="s">
        <v>714</v>
      </c>
      <c r="D202" s="193" t="s">
        <v>715</v>
      </c>
      <c r="K202" s="192"/>
      <c r="L202" s="192"/>
      <c r="M202" s="192"/>
      <c r="N202" s="192"/>
      <c r="O202" s="192"/>
      <c r="P202" s="192"/>
      <c r="Q202" s="192"/>
      <c r="R202" s="192"/>
      <c r="S202" s="192"/>
      <c r="T202" s="192"/>
      <c r="U202" s="192"/>
      <c r="V202" s="192"/>
      <c r="W202" s="192"/>
      <c r="X202" s="192"/>
      <c r="Y202" s="192"/>
      <c r="Z202" s="192"/>
      <c r="AA202" s="192"/>
      <c r="AB202" s="192"/>
      <c r="AC202" s="192"/>
      <c r="AD202" s="192"/>
      <c r="AE202" s="192"/>
    </row>
    <row r="203" spans="1:10" ht="15.75">
      <c r="A203" s="237"/>
      <c r="B203" s="192"/>
      <c r="C203" s="237"/>
      <c r="D203" s="237"/>
      <c r="E203" s="237"/>
      <c r="F203" s="237"/>
      <c r="G203" s="192"/>
      <c r="H203" s="278"/>
      <c r="I203" s="278"/>
      <c r="J203" s="192"/>
    </row>
    <row r="204" spans="1:10" ht="15.75">
      <c r="A204" s="237"/>
      <c r="B204" s="223" t="s">
        <v>628</v>
      </c>
      <c r="C204" s="237"/>
      <c r="D204" s="237"/>
      <c r="E204" s="237"/>
      <c r="F204" s="237"/>
      <c r="G204" s="192"/>
      <c r="H204" s="278"/>
      <c r="I204" s="278"/>
      <c r="J204" s="192"/>
    </row>
    <row r="205" spans="1:10" ht="15.75">
      <c r="A205" s="283"/>
      <c r="B205" s="283"/>
      <c r="C205" s="283"/>
      <c r="D205" s="283"/>
      <c r="E205" s="237"/>
      <c r="F205" s="237"/>
      <c r="G205" s="192"/>
      <c r="H205" s="278"/>
      <c r="I205" s="278"/>
      <c r="J205" s="192"/>
    </row>
    <row r="206" spans="1:36" ht="41.25" customHeight="1">
      <c r="A206" s="671" t="s">
        <v>545</v>
      </c>
      <c r="B206" s="686" t="s">
        <v>566</v>
      </c>
      <c r="C206" s="686" t="s">
        <v>629</v>
      </c>
      <c r="D206" s="686" t="s">
        <v>630</v>
      </c>
      <c r="E206" s="686" t="s">
        <v>631</v>
      </c>
      <c r="F206" s="236" t="s">
        <v>729</v>
      </c>
      <c r="G206" s="237"/>
      <c r="H206" s="237"/>
      <c r="I206" s="257"/>
      <c r="J206" s="192"/>
      <c r="K206" s="192"/>
      <c r="L206" s="192"/>
      <c r="M206" s="192"/>
      <c r="N206" s="192"/>
      <c r="O206" s="192"/>
      <c r="P206" s="192"/>
      <c r="Q206" s="192"/>
      <c r="R206" s="192"/>
      <c r="S206" s="192"/>
      <c r="T206" s="192"/>
      <c r="U206" s="192"/>
      <c r="V206" s="192"/>
      <c r="W206" s="192"/>
      <c r="X206" s="192"/>
      <c r="Y206" s="192"/>
      <c r="Z206" s="192"/>
      <c r="AA206" s="192"/>
      <c r="AB206" s="192"/>
      <c r="AC206" s="192"/>
      <c r="AD206" s="192"/>
      <c r="AE206" s="192"/>
      <c r="AF206" s="192"/>
      <c r="AG206" s="192"/>
      <c r="AH206" s="192"/>
      <c r="AI206" s="192"/>
      <c r="AJ206" s="192"/>
    </row>
    <row r="207" spans="1:36" ht="49.5" customHeight="1">
      <c r="A207" s="672"/>
      <c r="B207" s="686"/>
      <c r="C207" s="686"/>
      <c r="D207" s="686"/>
      <c r="E207" s="686"/>
      <c r="F207" s="246" t="s">
        <v>730</v>
      </c>
      <c r="G207" s="353"/>
      <c r="H207" s="353"/>
      <c r="I207" s="272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84"/>
      <c r="W207" s="284"/>
      <c r="X207" s="284"/>
      <c r="Y207" s="284"/>
      <c r="Z207" s="284"/>
      <c r="AA207" s="284"/>
      <c r="AB207" s="284"/>
      <c r="AC207" s="284"/>
      <c r="AD207" s="284"/>
      <c r="AE207" s="284"/>
      <c r="AF207" s="284"/>
      <c r="AG207" s="284"/>
      <c r="AH207" s="284"/>
      <c r="AI207" s="284"/>
      <c r="AJ207" s="192"/>
    </row>
    <row r="208" spans="1:36" ht="15.75">
      <c r="A208" s="201">
        <v>1</v>
      </c>
      <c r="B208" s="201">
        <v>2</v>
      </c>
      <c r="C208" s="201">
        <v>3</v>
      </c>
      <c r="D208" s="201">
        <v>4</v>
      </c>
      <c r="E208" s="201">
        <v>5</v>
      </c>
      <c r="F208" s="201">
        <v>6</v>
      </c>
      <c r="G208" s="366"/>
      <c r="H208" s="231"/>
      <c r="I208" s="231"/>
      <c r="J208" s="205"/>
      <c r="K208" s="205"/>
      <c r="L208" s="205"/>
      <c r="M208" s="205"/>
      <c r="N208" s="205"/>
      <c r="O208" s="205"/>
      <c r="P208" s="205"/>
      <c r="Q208" s="205"/>
      <c r="R208" s="205"/>
      <c r="S208" s="205"/>
      <c r="T208" s="205"/>
      <c r="U208" s="205"/>
      <c r="V208" s="285"/>
      <c r="W208" s="285"/>
      <c r="X208" s="285"/>
      <c r="Y208" s="285"/>
      <c r="Z208" s="285"/>
      <c r="AA208" s="285"/>
      <c r="AB208" s="285"/>
      <c r="AC208" s="285"/>
      <c r="AD208" s="285"/>
      <c r="AE208" s="285"/>
      <c r="AF208" s="285"/>
      <c r="AG208" s="285"/>
      <c r="AH208" s="285"/>
      <c r="AI208" s="285"/>
      <c r="AJ208" s="192"/>
    </row>
    <row r="209" spans="1:36" ht="63">
      <c r="A209" s="238" t="s">
        <v>608</v>
      </c>
      <c r="B209" s="298" t="s">
        <v>633</v>
      </c>
      <c r="C209" s="286">
        <v>1</v>
      </c>
      <c r="D209" s="483">
        <v>1</v>
      </c>
      <c r="E209" s="288">
        <v>3500</v>
      </c>
      <c r="F209" s="367">
        <f>D209*E209*C209</f>
        <v>3500</v>
      </c>
      <c r="G209" s="368"/>
      <c r="H209" s="369"/>
      <c r="I209" s="276"/>
      <c r="J209" s="212"/>
      <c r="K209" s="212"/>
      <c r="L209" s="212"/>
      <c r="M209" s="212"/>
      <c r="N209" s="212"/>
      <c r="O209" s="212"/>
      <c r="P209" s="212"/>
      <c r="Q209" s="212"/>
      <c r="R209" s="212"/>
      <c r="S209" s="212"/>
      <c r="T209" s="212"/>
      <c r="U209" s="212"/>
      <c r="V209" s="284"/>
      <c r="W209" s="284"/>
      <c r="X209" s="284"/>
      <c r="Y209" s="284"/>
      <c r="Z209" s="284"/>
      <c r="AA209" s="284"/>
      <c r="AB209" s="284"/>
      <c r="AC209" s="284"/>
      <c r="AD209" s="284"/>
      <c r="AE209" s="284"/>
      <c r="AF209" s="284"/>
      <c r="AG209" s="284"/>
      <c r="AH209" s="284"/>
      <c r="AI209" s="284"/>
      <c r="AJ209" s="192"/>
    </row>
    <row r="210" spans="1:36" ht="15.75">
      <c r="A210" s="238"/>
      <c r="B210" s="197"/>
      <c r="C210" s="215"/>
      <c r="D210" s="215"/>
      <c r="E210" s="215"/>
      <c r="F210" s="370"/>
      <c r="G210" s="371"/>
      <c r="H210" s="276"/>
      <c r="I210" s="276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84"/>
      <c r="W210" s="284"/>
      <c r="X210" s="284"/>
      <c r="Y210" s="284"/>
      <c r="Z210" s="284"/>
      <c r="AA210" s="284"/>
      <c r="AB210" s="284"/>
      <c r="AC210" s="284"/>
      <c r="AD210" s="284"/>
      <c r="AE210" s="284"/>
      <c r="AF210" s="284"/>
      <c r="AG210" s="284"/>
      <c r="AH210" s="284"/>
      <c r="AI210" s="284"/>
      <c r="AJ210" s="192"/>
    </row>
    <row r="211" spans="1:36" ht="15.75">
      <c r="A211" s="756" t="s">
        <v>635</v>
      </c>
      <c r="B211" s="758"/>
      <c r="C211" s="372" t="s">
        <v>562</v>
      </c>
      <c r="D211" s="372" t="s">
        <v>562</v>
      </c>
      <c r="E211" s="372" t="s">
        <v>562</v>
      </c>
      <c r="F211" s="373">
        <f>SUM(F209:F210)</f>
        <v>3500</v>
      </c>
      <c r="G211" s="371"/>
      <c r="H211" s="276"/>
      <c r="I211" s="276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93"/>
      <c r="W211" s="293"/>
      <c r="X211" s="293"/>
      <c r="Y211" s="293"/>
      <c r="Z211" s="293"/>
      <c r="AA211" s="293"/>
      <c r="AB211" s="293"/>
      <c r="AC211" s="293"/>
      <c r="AD211" s="293"/>
      <c r="AE211" s="293"/>
      <c r="AF211" s="293"/>
      <c r="AG211" s="293"/>
      <c r="AH211" s="293"/>
      <c r="AI211" s="293"/>
      <c r="AJ211" s="192"/>
    </row>
    <row r="212" spans="1:10" ht="15.75">
      <c r="A212" s="237"/>
      <c r="B212" s="192"/>
      <c r="C212" s="237"/>
      <c r="D212" s="237"/>
      <c r="E212" s="237"/>
      <c r="F212" s="237"/>
      <c r="G212" s="192"/>
      <c r="H212" s="278"/>
      <c r="I212" s="278"/>
      <c r="J212" s="192"/>
    </row>
    <row r="213" spans="1:11" ht="151.5" customHeight="1">
      <c r="A213" s="683" t="s">
        <v>636</v>
      </c>
      <c r="B213" s="683"/>
      <c r="C213" s="683"/>
      <c r="D213" s="683"/>
      <c r="E213" s="683"/>
      <c r="F213" s="683"/>
      <c r="G213" s="683"/>
      <c r="H213" s="683"/>
      <c r="I213" s="683"/>
      <c r="J213" s="683"/>
      <c r="K213" s="683"/>
    </row>
    <row r="214" spans="1:10" ht="15.75">
      <c r="A214" s="237"/>
      <c r="B214" s="192"/>
      <c r="C214" s="237"/>
      <c r="D214" s="237"/>
      <c r="E214" s="237"/>
      <c r="F214" s="237"/>
      <c r="G214" s="192"/>
      <c r="H214" s="278"/>
      <c r="I214" s="278"/>
      <c r="J214" s="192"/>
    </row>
    <row r="215" spans="1:10" ht="15.75">
      <c r="A215" s="283"/>
      <c r="B215" s="283" t="s">
        <v>637</v>
      </c>
      <c r="C215" s="283"/>
      <c r="D215" s="283"/>
      <c r="E215" s="283"/>
      <c r="F215" s="237"/>
      <c r="G215" s="192"/>
      <c r="H215" s="278"/>
      <c r="I215" s="278"/>
      <c r="J215" s="192"/>
    </row>
    <row r="216" spans="1:10" ht="15.75">
      <c r="A216" s="237"/>
      <c r="B216" s="192"/>
      <c r="C216" s="237"/>
      <c r="D216" s="237"/>
      <c r="E216" s="237"/>
      <c r="F216" s="237"/>
      <c r="G216" s="192"/>
      <c r="H216" s="278"/>
      <c r="I216" s="278"/>
      <c r="J216" s="192"/>
    </row>
    <row r="217" spans="1:10" ht="41.25" customHeight="1">
      <c r="A217" s="671" t="s">
        <v>545</v>
      </c>
      <c r="B217" s="686" t="s">
        <v>566</v>
      </c>
      <c r="C217" s="686" t="s">
        <v>638</v>
      </c>
      <c r="D217" s="686" t="s">
        <v>639</v>
      </c>
      <c r="E217" s="236" t="s">
        <v>731</v>
      </c>
      <c r="F217" s="237"/>
      <c r="G217" s="237"/>
      <c r="H217" s="257"/>
      <c r="I217" s="278"/>
      <c r="J217" s="192"/>
    </row>
    <row r="218" spans="1:10" ht="31.5">
      <c r="A218" s="672"/>
      <c r="B218" s="686"/>
      <c r="C218" s="686"/>
      <c r="D218" s="686"/>
      <c r="E218" s="270" t="s">
        <v>732</v>
      </c>
      <c r="F218" s="364"/>
      <c r="G218" s="364"/>
      <c r="H218" s="272"/>
      <c r="I218" s="278"/>
      <c r="J218" s="192"/>
    </row>
    <row r="219" spans="1:10" ht="15.75">
      <c r="A219" s="281">
        <v>1</v>
      </c>
      <c r="B219" s="282">
        <v>2</v>
      </c>
      <c r="C219" s="282">
        <v>3</v>
      </c>
      <c r="D219" s="282">
        <v>4</v>
      </c>
      <c r="E219" s="274">
        <v>5</v>
      </c>
      <c r="F219" s="231"/>
      <c r="G219" s="231"/>
      <c r="H219" s="231"/>
      <c r="I219" s="278"/>
      <c r="J219" s="192"/>
    </row>
    <row r="220" spans="1:10" ht="31.5">
      <c r="A220" s="200">
        <v>1</v>
      </c>
      <c r="B220" s="298" t="s">
        <v>733</v>
      </c>
      <c r="C220" s="202">
        <v>1</v>
      </c>
      <c r="D220" s="202">
        <v>11000</v>
      </c>
      <c r="E220" s="265">
        <f>C220*D220</f>
        <v>11000</v>
      </c>
      <c r="F220" s="276"/>
      <c r="G220" s="276"/>
      <c r="H220" s="276"/>
      <c r="I220" s="278"/>
      <c r="J220" s="192"/>
    </row>
    <row r="221" spans="1:10" ht="15.75">
      <c r="A221" s="200"/>
      <c r="B221" s="196"/>
      <c r="C221" s="202"/>
      <c r="D221" s="202"/>
      <c r="E221" s="265"/>
      <c r="F221" s="276"/>
      <c r="G221" s="276"/>
      <c r="H221" s="276"/>
      <c r="I221" s="278"/>
      <c r="J221" s="192"/>
    </row>
    <row r="222" spans="1:10" ht="15.75">
      <c r="A222" s="688" t="s">
        <v>561</v>
      </c>
      <c r="B222" s="689"/>
      <c r="C222" s="305" t="s">
        <v>562</v>
      </c>
      <c r="D222" s="305" t="s">
        <v>562</v>
      </c>
      <c r="E222" s="374">
        <f>SUM(E220:E221)</f>
        <v>11000</v>
      </c>
      <c r="F222" s="276"/>
      <c r="G222" s="276"/>
      <c r="H222" s="276"/>
      <c r="I222" s="278"/>
      <c r="J222" s="192"/>
    </row>
    <row r="223" spans="1:10" ht="15.75">
      <c r="A223" s="237"/>
      <c r="B223" s="192"/>
      <c r="C223" s="237"/>
      <c r="D223" s="237"/>
      <c r="E223" s="237"/>
      <c r="F223" s="237"/>
      <c r="G223" s="192"/>
      <c r="H223" s="278"/>
      <c r="I223" s="278"/>
      <c r="J223" s="192"/>
    </row>
    <row r="224" spans="1:11" ht="36" customHeight="1">
      <c r="A224" s="693" t="s">
        <v>641</v>
      </c>
      <c r="B224" s="693"/>
      <c r="C224" s="693"/>
      <c r="D224" s="693"/>
      <c r="E224" s="693"/>
      <c r="F224" s="693"/>
      <c r="G224" s="693"/>
      <c r="H224" s="693"/>
      <c r="I224" s="693"/>
      <c r="J224" s="693"/>
      <c r="K224" s="693"/>
    </row>
    <row r="225" spans="1:10" ht="15.75">
      <c r="A225" s="237"/>
      <c r="B225" s="192"/>
      <c r="C225" s="237"/>
      <c r="D225" s="237"/>
      <c r="E225" s="237"/>
      <c r="F225" s="237"/>
      <c r="G225" s="192"/>
      <c r="H225" s="278"/>
      <c r="I225" s="278"/>
      <c r="J225" s="192"/>
    </row>
    <row r="226" spans="1:10" ht="15.75">
      <c r="A226" s="283"/>
      <c r="B226" s="283" t="s">
        <v>642</v>
      </c>
      <c r="C226" s="283"/>
      <c r="D226" s="283"/>
      <c r="E226" s="283"/>
      <c r="F226" s="283"/>
      <c r="G226" s="192"/>
      <c r="H226" s="278"/>
      <c r="I226" s="278"/>
      <c r="J226" s="192"/>
    </row>
    <row r="227" spans="1:10" ht="15.75">
      <c r="A227" s="237"/>
      <c r="B227" s="192"/>
      <c r="C227" s="237"/>
      <c r="D227" s="237"/>
      <c r="E227" s="237"/>
      <c r="F227" s="237"/>
      <c r="G227" s="192"/>
      <c r="H227" s="278"/>
      <c r="I227" s="278"/>
      <c r="J227" s="192"/>
    </row>
    <row r="228" spans="1:10" ht="45" customHeight="1">
      <c r="A228" s="671" t="s">
        <v>545</v>
      </c>
      <c r="B228" s="686" t="s">
        <v>1</v>
      </c>
      <c r="C228" s="686" t="s">
        <v>643</v>
      </c>
      <c r="D228" s="686" t="s">
        <v>644</v>
      </c>
      <c r="E228" s="686" t="s">
        <v>645</v>
      </c>
      <c r="F228" s="236" t="s">
        <v>729</v>
      </c>
      <c r="G228" s="237"/>
      <c r="H228" s="237"/>
      <c r="I228" s="257"/>
      <c r="J228" s="192"/>
    </row>
    <row r="229" spans="1:10" ht="31.5">
      <c r="A229" s="672"/>
      <c r="B229" s="686"/>
      <c r="C229" s="686"/>
      <c r="D229" s="686"/>
      <c r="E229" s="686"/>
      <c r="F229" s="269" t="s">
        <v>732</v>
      </c>
      <c r="G229" s="364"/>
      <c r="H229" s="364"/>
      <c r="I229" s="272"/>
      <c r="J229" s="192"/>
    </row>
    <row r="230" spans="1:10" ht="15.75">
      <c r="A230" s="201">
        <v>1</v>
      </c>
      <c r="B230" s="201">
        <v>2</v>
      </c>
      <c r="C230" s="201">
        <v>3</v>
      </c>
      <c r="D230" s="201">
        <v>4</v>
      </c>
      <c r="E230" s="201">
        <v>5</v>
      </c>
      <c r="F230" s="204">
        <v>6</v>
      </c>
      <c r="G230" s="231"/>
      <c r="H230" s="231"/>
      <c r="I230" s="231"/>
      <c r="J230" s="192"/>
    </row>
    <row r="231" spans="1:10" ht="15.75">
      <c r="A231" s="294" t="s">
        <v>608</v>
      </c>
      <c r="B231" s="295" t="s">
        <v>646</v>
      </c>
      <c r="C231" s="296">
        <v>58.47069</v>
      </c>
      <c r="D231" s="296">
        <v>1860.27</v>
      </c>
      <c r="E231" s="296">
        <v>0</v>
      </c>
      <c r="F231" s="297">
        <f>ROUND(C231*D231,2)+62500</f>
        <v>171271.27000000002</v>
      </c>
      <c r="G231" s="375"/>
      <c r="H231" s="365"/>
      <c r="I231" s="276"/>
      <c r="J231" s="192"/>
    </row>
    <row r="232" spans="1:10" ht="15.75">
      <c r="A232" s="294" t="s">
        <v>588</v>
      </c>
      <c r="B232" s="298" t="s">
        <v>647</v>
      </c>
      <c r="C232" s="299">
        <f>22684</f>
        <v>22684</v>
      </c>
      <c r="D232" s="299">
        <v>6.32</v>
      </c>
      <c r="E232" s="296">
        <v>0</v>
      </c>
      <c r="F232" s="297">
        <f>ROUND(C232*D232,2)+31776</f>
        <v>175138.88</v>
      </c>
      <c r="G232" s="365"/>
      <c r="H232" s="365"/>
      <c r="I232" s="276"/>
      <c r="J232" s="192"/>
    </row>
    <row r="233" spans="1:10" ht="31.5">
      <c r="A233" s="294" t="s">
        <v>599</v>
      </c>
      <c r="B233" s="298" t="s">
        <v>648</v>
      </c>
      <c r="C233" s="299">
        <v>1038</v>
      </c>
      <c r="D233" s="299">
        <v>40.98</v>
      </c>
      <c r="E233" s="296">
        <v>0</v>
      </c>
      <c r="F233" s="297">
        <f>ROUND(C233*D233,2)+16000</f>
        <v>58537.24</v>
      </c>
      <c r="G233" s="365"/>
      <c r="H233" s="365"/>
      <c r="I233" s="276"/>
      <c r="J233" s="192"/>
    </row>
    <row r="234" spans="1:10" s="399" customFormat="1" ht="18.75">
      <c r="A234" s="764" t="s">
        <v>635</v>
      </c>
      <c r="B234" s="765"/>
      <c r="C234" s="395" t="s">
        <v>562</v>
      </c>
      <c r="D234" s="395" t="s">
        <v>562</v>
      </c>
      <c r="E234" s="395" t="s">
        <v>562</v>
      </c>
      <c r="F234" s="396">
        <f>SUM(F231:F233)</f>
        <v>404947.39</v>
      </c>
      <c r="G234" s="397"/>
      <c r="H234" s="397"/>
      <c r="I234" s="397"/>
      <c r="J234" s="398"/>
    </row>
    <row r="235" spans="1:10" ht="15.75">
      <c r="A235" s="237"/>
      <c r="B235" s="192"/>
      <c r="C235" s="237"/>
      <c r="D235" s="237"/>
      <c r="E235" s="237"/>
      <c r="F235" s="237"/>
      <c r="G235" s="192"/>
      <c r="H235" s="278"/>
      <c r="I235" s="278"/>
      <c r="J235" s="192"/>
    </row>
    <row r="236" spans="1:10" ht="15.75" hidden="1">
      <c r="A236" s="283"/>
      <c r="B236" s="283" t="s">
        <v>859</v>
      </c>
      <c r="C236" s="283"/>
      <c r="D236" s="283"/>
      <c r="E236" s="283"/>
      <c r="F236" s="283"/>
      <c r="G236" s="192"/>
      <c r="H236" s="278"/>
      <c r="I236" s="278"/>
      <c r="J236" s="192"/>
    </row>
    <row r="237" spans="1:10" ht="15.75" hidden="1">
      <c r="A237" s="237"/>
      <c r="B237" s="192"/>
      <c r="C237" s="237"/>
      <c r="D237" s="237"/>
      <c r="E237" s="237"/>
      <c r="F237" s="237"/>
      <c r="G237" s="192"/>
      <c r="H237" s="278"/>
      <c r="I237" s="278"/>
      <c r="J237" s="192"/>
    </row>
    <row r="238" spans="1:10" ht="31.5" hidden="1">
      <c r="A238" s="671" t="s">
        <v>545</v>
      </c>
      <c r="B238" s="686" t="s">
        <v>1</v>
      </c>
      <c r="C238" s="686" t="s">
        <v>643</v>
      </c>
      <c r="D238" s="686" t="s">
        <v>644</v>
      </c>
      <c r="E238" s="686" t="s">
        <v>645</v>
      </c>
      <c r="F238" s="236" t="s">
        <v>729</v>
      </c>
      <c r="G238" s="237"/>
      <c r="H238" s="237"/>
      <c r="I238" s="257"/>
      <c r="J238" s="192"/>
    </row>
    <row r="239" spans="1:10" ht="31.5" hidden="1">
      <c r="A239" s="672"/>
      <c r="B239" s="686"/>
      <c r="C239" s="686"/>
      <c r="D239" s="686"/>
      <c r="E239" s="686"/>
      <c r="F239" s="269" t="s">
        <v>732</v>
      </c>
      <c r="G239" s="364"/>
      <c r="H239" s="364"/>
      <c r="I239" s="272"/>
      <c r="J239" s="192"/>
    </row>
    <row r="240" spans="1:10" ht="15.75" hidden="1">
      <c r="A240" s="201">
        <v>1</v>
      </c>
      <c r="B240" s="201">
        <v>2</v>
      </c>
      <c r="C240" s="201">
        <v>3</v>
      </c>
      <c r="D240" s="201">
        <v>4</v>
      </c>
      <c r="E240" s="201">
        <v>5</v>
      </c>
      <c r="F240" s="204">
        <v>6</v>
      </c>
      <c r="G240" s="231"/>
      <c r="H240" s="231"/>
      <c r="I240" s="231"/>
      <c r="J240" s="192"/>
    </row>
    <row r="241" spans="1:10" ht="31.5" hidden="1">
      <c r="A241" s="201">
        <v>1</v>
      </c>
      <c r="B241" s="298" t="s">
        <v>860</v>
      </c>
      <c r="C241" s="299">
        <v>39.64</v>
      </c>
      <c r="D241" s="299">
        <v>1576.5</v>
      </c>
      <c r="E241" s="299"/>
      <c r="F241" s="299"/>
      <c r="G241" s="231"/>
      <c r="H241" s="231"/>
      <c r="I241" s="231"/>
      <c r="J241" s="192"/>
    </row>
    <row r="242" spans="1:10" ht="31.5" hidden="1">
      <c r="A242" s="238" t="s">
        <v>588</v>
      </c>
      <c r="B242" s="298" t="s">
        <v>861</v>
      </c>
      <c r="C242" s="299">
        <v>5788</v>
      </c>
      <c r="D242" s="299">
        <v>5.49</v>
      </c>
      <c r="E242" s="299"/>
      <c r="F242" s="299"/>
      <c r="G242" s="276"/>
      <c r="H242" s="276"/>
      <c r="I242" s="276"/>
      <c r="J242" s="192"/>
    </row>
    <row r="243" spans="1:10" ht="31.5" hidden="1">
      <c r="A243" s="238" t="s">
        <v>599</v>
      </c>
      <c r="B243" s="298" t="s">
        <v>862</v>
      </c>
      <c r="C243" s="299">
        <v>230</v>
      </c>
      <c r="D243" s="299">
        <v>69.46</v>
      </c>
      <c r="E243" s="299"/>
      <c r="F243" s="299"/>
      <c r="G243" s="276"/>
      <c r="H243" s="276"/>
      <c r="I243" s="276"/>
      <c r="J243" s="192"/>
    </row>
    <row r="244" spans="1:10" ht="15.75" hidden="1">
      <c r="A244" s="691" t="s">
        <v>635</v>
      </c>
      <c r="B244" s="692"/>
      <c r="C244" s="215" t="s">
        <v>562</v>
      </c>
      <c r="D244" s="215" t="s">
        <v>562</v>
      </c>
      <c r="E244" s="215" t="s">
        <v>562</v>
      </c>
      <c r="F244" s="540">
        <f>SUM(F241:F243)</f>
        <v>0</v>
      </c>
      <c r="G244" s="276"/>
      <c r="H244" s="276"/>
      <c r="I244" s="276"/>
      <c r="J244" s="192"/>
    </row>
    <row r="245" spans="1:10" ht="15.75">
      <c r="A245" s="237"/>
      <c r="B245" s="192"/>
      <c r="C245" s="237"/>
      <c r="D245" s="237"/>
      <c r="E245" s="237"/>
      <c r="F245" s="237"/>
      <c r="G245" s="192"/>
      <c r="H245" s="278"/>
      <c r="I245" s="278"/>
      <c r="J245" s="192"/>
    </row>
    <row r="246" spans="1:11" ht="66.75" customHeight="1">
      <c r="A246" s="683" t="s">
        <v>649</v>
      </c>
      <c r="B246" s="693"/>
      <c r="C246" s="693"/>
      <c r="D246" s="693"/>
      <c r="E246" s="693"/>
      <c r="F246" s="693"/>
      <c r="G246" s="693"/>
      <c r="H246" s="693"/>
      <c r="I246" s="693"/>
      <c r="J246" s="693"/>
      <c r="K246" s="693"/>
    </row>
    <row r="247" spans="1:10" ht="15.75">
      <c r="A247" s="237"/>
      <c r="B247" s="192"/>
      <c r="C247" s="237"/>
      <c r="D247" s="237"/>
      <c r="E247" s="237"/>
      <c r="F247" s="237"/>
      <c r="G247" s="192"/>
      <c r="H247" s="278"/>
      <c r="I247" s="278"/>
      <c r="J247" s="192"/>
    </row>
    <row r="248" spans="1:10" ht="15.75">
      <c r="A248" s="283"/>
      <c r="B248" s="283" t="s">
        <v>650</v>
      </c>
      <c r="C248" s="283"/>
      <c r="D248" s="283"/>
      <c r="E248" s="283"/>
      <c r="F248" s="237"/>
      <c r="G248" s="192"/>
      <c r="H248" s="278"/>
      <c r="I248" s="278"/>
      <c r="J248" s="192"/>
    </row>
    <row r="249" spans="1:10" ht="15.75">
      <c r="A249" s="237"/>
      <c r="B249" s="192"/>
      <c r="C249" s="237"/>
      <c r="D249" s="237"/>
      <c r="E249" s="237"/>
      <c r="F249" s="237"/>
      <c r="G249" s="192"/>
      <c r="H249" s="278"/>
      <c r="I249" s="278"/>
      <c r="J249" s="192"/>
    </row>
    <row r="250" spans="1:10" ht="22.5" customHeight="1">
      <c r="A250" s="671" t="s">
        <v>545</v>
      </c>
      <c r="B250" s="686" t="s">
        <v>1</v>
      </c>
      <c r="C250" s="686" t="s">
        <v>651</v>
      </c>
      <c r="D250" s="686" t="s">
        <v>652</v>
      </c>
      <c r="E250" s="200" t="s">
        <v>579</v>
      </c>
      <c r="F250" s="237"/>
      <c r="G250" s="237"/>
      <c r="H250" s="257"/>
      <c r="I250" s="278"/>
      <c r="J250" s="192"/>
    </row>
    <row r="251" spans="1:10" ht="78.75">
      <c r="A251" s="672"/>
      <c r="B251" s="686"/>
      <c r="C251" s="686"/>
      <c r="D251" s="686"/>
      <c r="E251" s="270" t="s">
        <v>734</v>
      </c>
      <c r="F251" s="364"/>
      <c r="G251" s="364"/>
      <c r="H251" s="272"/>
      <c r="I251" s="278"/>
      <c r="J251" s="192"/>
    </row>
    <row r="252" spans="1:10" ht="15.75">
      <c r="A252" s="281">
        <v>1</v>
      </c>
      <c r="B252" s="282">
        <v>2</v>
      </c>
      <c r="C252" s="282">
        <v>3</v>
      </c>
      <c r="D252" s="282">
        <v>4</v>
      </c>
      <c r="E252" s="274">
        <v>5</v>
      </c>
      <c r="F252" s="231"/>
      <c r="G252" s="231"/>
      <c r="H252" s="231"/>
      <c r="I252" s="278"/>
      <c r="J252" s="192"/>
    </row>
    <row r="253" spans="1:10" ht="15.75">
      <c r="A253" s="200"/>
      <c r="B253" s="196"/>
      <c r="C253" s="202"/>
      <c r="D253" s="202"/>
      <c r="E253" s="265"/>
      <c r="F253" s="276"/>
      <c r="G253" s="276"/>
      <c r="H253" s="276"/>
      <c r="I253" s="278"/>
      <c r="J253" s="192"/>
    </row>
    <row r="254" spans="1:10" ht="15.75">
      <c r="A254" s="200"/>
      <c r="B254" s="196"/>
      <c r="C254" s="202"/>
      <c r="D254" s="202"/>
      <c r="E254" s="265"/>
      <c r="F254" s="276"/>
      <c r="G254" s="276"/>
      <c r="H254" s="276"/>
      <c r="I254" s="278"/>
      <c r="J254" s="192"/>
    </row>
    <row r="255" spans="1:10" ht="15.75">
      <c r="A255" s="684" t="s">
        <v>561</v>
      </c>
      <c r="B255" s="685"/>
      <c r="C255" s="202" t="s">
        <v>562</v>
      </c>
      <c r="D255" s="202" t="s">
        <v>562</v>
      </c>
      <c r="E255" s="265">
        <f>SUM(E253:E254)</f>
        <v>0</v>
      </c>
      <c r="F255" s="276"/>
      <c r="G255" s="276"/>
      <c r="H255" s="276"/>
      <c r="I255" s="278"/>
      <c r="J255" s="192"/>
    </row>
    <row r="256" spans="1:11" ht="48" customHeight="1">
      <c r="A256" s="690" t="s">
        <v>654</v>
      </c>
      <c r="B256" s="690"/>
      <c r="C256" s="690"/>
      <c r="D256" s="690"/>
      <c r="E256" s="690"/>
      <c r="F256" s="690"/>
      <c r="G256" s="690"/>
      <c r="H256" s="690"/>
      <c r="I256" s="690"/>
      <c r="J256" s="690"/>
      <c r="K256" s="690"/>
    </row>
    <row r="257" spans="1:10" ht="15.75">
      <c r="A257" s="237"/>
      <c r="B257" s="192"/>
      <c r="C257" s="237"/>
      <c r="D257" s="237"/>
      <c r="E257" s="237"/>
      <c r="F257" s="237"/>
      <c r="G257" s="192"/>
      <c r="H257" s="278"/>
      <c r="I257" s="278"/>
      <c r="J257" s="192"/>
    </row>
    <row r="258" spans="1:10" ht="15.75">
      <c r="A258" s="283"/>
      <c r="B258" s="283" t="s">
        <v>655</v>
      </c>
      <c r="C258" s="283"/>
      <c r="D258" s="283"/>
      <c r="E258" s="283"/>
      <c r="F258" s="283"/>
      <c r="G258" s="192"/>
      <c r="H258" s="278"/>
      <c r="I258" s="278"/>
      <c r="J258" s="192"/>
    </row>
    <row r="259" spans="1:10" ht="15.75">
      <c r="A259" s="237"/>
      <c r="B259" s="192"/>
      <c r="C259" s="237"/>
      <c r="D259" s="237"/>
      <c r="E259" s="237"/>
      <c r="F259" s="237"/>
      <c r="G259" s="192"/>
      <c r="H259" s="278"/>
      <c r="I259" s="278"/>
      <c r="J259" s="192"/>
    </row>
    <row r="260" spans="1:10" ht="50.25" customHeight="1">
      <c r="A260" s="671" t="s">
        <v>545</v>
      </c>
      <c r="B260" s="686" t="s">
        <v>566</v>
      </c>
      <c r="C260" s="686" t="s">
        <v>656</v>
      </c>
      <c r="D260" s="686" t="s">
        <v>657</v>
      </c>
      <c r="E260" s="236" t="s">
        <v>735</v>
      </c>
      <c r="F260" s="237"/>
      <c r="G260" s="237"/>
      <c r="H260" s="257"/>
      <c r="I260" s="278"/>
      <c r="J260" s="192"/>
    </row>
    <row r="261" spans="1:10" ht="31.5">
      <c r="A261" s="672"/>
      <c r="B261" s="686"/>
      <c r="C261" s="686"/>
      <c r="D261" s="686"/>
      <c r="E261" s="270" t="s">
        <v>736</v>
      </c>
      <c r="F261" s="364"/>
      <c r="G261" s="364"/>
      <c r="H261" s="272"/>
      <c r="I261" s="278"/>
      <c r="J261" s="192"/>
    </row>
    <row r="262" spans="1:10" ht="15.75">
      <c r="A262" s="281">
        <v>1</v>
      </c>
      <c r="B262" s="282">
        <v>2</v>
      </c>
      <c r="C262" s="282">
        <v>3</v>
      </c>
      <c r="D262" s="282">
        <v>4</v>
      </c>
      <c r="E262" s="274">
        <v>5</v>
      </c>
      <c r="F262" s="231"/>
      <c r="G262" s="231"/>
      <c r="H262" s="231"/>
      <c r="I262" s="278"/>
      <c r="J262" s="192"/>
    </row>
    <row r="263" spans="1:10" ht="15.75">
      <c r="A263" s="281">
        <v>1</v>
      </c>
      <c r="B263" s="302" t="s">
        <v>659</v>
      </c>
      <c r="C263" s="282" t="s">
        <v>660</v>
      </c>
      <c r="D263" s="303">
        <v>9</v>
      </c>
      <c r="E263" s="376">
        <f>19414.63-3016-590.9</f>
        <v>15807.730000000001</v>
      </c>
      <c r="F263" s="231"/>
      <c r="G263" s="231"/>
      <c r="H263" s="231"/>
      <c r="I263" s="278"/>
      <c r="J263" s="192"/>
    </row>
    <row r="264" spans="1:10" ht="15.75">
      <c r="A264" s="281">
        <v>2</v>
      </c>
      <c r="B264" s="302" t="s">
        <v>661</v>
      </c>
      <c r="C264" s="282" t="s">
        <v>660</v>
      </c>
      <c r="D264" s="303">
        <v>9</v>
      </c>
      <c r="E264" s="376">
        <v>3600</v>
      </c>
      <c r="F264" s="231"/>
      <c r="G264" s="231"/>
      <c r="H264" s="231"/>
      <c r="I264" s="278"/>
      <c r="J264" s="192"/>
    </row>
    <row r="265" spans="1:10" ht="31.5">
      <c r="A265" s="281">
        <v>3</v>
      </c>
      <c r="B265" s="302" t="s">
        <v>662</v>
      </c>
      <c r="C265" s="282" t="s">
        <v>660</v>
      </c>
      <c r="D265" s="303">
        <v>9</v>
      </c>
      <c r="E265" s="377">
        <v>18000</v>
      </c>
      <c r="F265" s="231"/>
      <c r="G265" s="231"/>
      <c r="H265" s="231"/>
      <c r="I265" s="278"/>
      <c r="J265" s="192"/>
    </row>
    <row r="266" spans="1:10" ht="15.75">
      <c r="A266" s="281">
        <v>4</v>
      </c>
      <c r="B266" s="302" t="s">
        <v>663</v>
      </c>
      <c r="C266" s="282" t="s">
        <v>660</v>
      </c>
      <c r="D266" s="303">
        <v>9</v>
      </c>
      <c r="E266" s="376">
        <v>85000</v>
      </c>
      <c r="F266" s="231"/>
      <c r="G266" s="231"/>
      <c r="H266" s="231"/>
      <c r="I266" s="278"/>
      <c r="J266" s="192"/>
    </row>
    <row r="267" spans="1:10" ht="31.5">
      <c r="A267" s="281">
        <v>5</v>
      </c>
      <c r="B267" s="302" t="s">
        <v>664</v>
      </c>
      <c r="C267" s="282" t="s">
        <v>660</v>
      </c>
      <c r="D267" s="303">
        <v>9</v>
      </c>
      <c r="E267" s="376">
        <v>448000</v>
      </c>
      <c r="F267" s="231"/>
      <c r="G267" s="231"/>
      <c r="H267" s="231"/>
      <c r="I267" s="278"/>
      <c r="J267" s="192"/>
    </row>
    <row r="268" spans="1:10" ht="15.75">
      <c r="A268" s="281">
        <v>6</v>
      </c>
      <c r="B268" s="302" t="s">
        <v>665</v>
      </c>
      <c r="C268" s="282" t="s">
        <v>660</v>
      </c>
      <c r="D268" s="303">
        <v>1</v>
      </c>
      <c r="E268" s="376">
        <v>15000</v>
      </c>
      <c r="F268" s="231"/>
      <c r="G268" s="231"/>
      <c r="H268" s="231"/>
      <c r="I268" s="278"/>
      <c r="J268" s="192"/>
    </row>
    <row r="269" spans="1:10" ht="15.75">
      <c r="A269" s="281">
        <v>7</v>
      </c>
      <c r="B269" s="302" t="s">
        <v>666</v>
      </c>
      <c r="C269" s="282" t="s">
        <v>660</v>
      </c>
      <c r="D269" s="303">
        <v>1</v>
      </c>
      <c r="E269" s="376">
        <v>15000</v>
      </c>
      <c r="F269" s="231"/>
      <c r="G269" s="231"/>
      <c r="H269" s="231"/>
      <c r="I269" s="278"/>
      <c r="J269" s="192"/>
    </row>
    <row r="270" spans="1:10" ht="31.5">
      <c r="A270" s="281">
        <v>8</v>
      </c>
      <c r="B270" s="302" t="s">
        <v>669</v>
      </c>
      <c r="C270" s="282" t="s">
        <v>660</v>
      </c>
      <c r="D270" s="303">
        <v>4</v>
      </c>
      <c r="E270" s="377">
        <f>1800000-564000-20000+1051898.98+32320.45-500000-400000-8000-100000</f>
        <v>1292219.4300000002</v>
      </c>
      <c r="F270" s="231"/>
      <c r="G270" s="231"/>
      <c r="H270" s="231"/>
      <c r="I270" s="278"/>
      <c r="J270" s="192"/>
    </row>
    <row r="271" spans="1:10" ht="31.5">
      <c r="A271" s="281">
        <v>9</v>
      </c>
      <c r="B271" s="302" t="s">
        <v>737</v>
      </c>
      <c r="C271" s="282" t="s">
        <v>660</v>
      </c>
      <c r="D271" s="303">
        <v>1</v>
      </c>
      <c r="E271" s="377">
        <v>80000</v>
      </c>
      <c r="F271" s="231"/>
      <c r="G271" s="231"/>
      <c r="H271" s="231"/>
      <c r="I271" s="278"/>
      <c r="J271" s="192"/>
    </row>
    <row r="272" spans="1:10" ht="31.5">
      <c r="A272" s="281">
        <v>10</v>
      </c>
      <c r="B272" s="302" t="s">
        <v>670</v>
      </c>
      <c r="C272" s="282" t="s">
        <v>660</v>
      </c>
      <c r="D272" s="303">
        <v>4</v>
      </c>
      <c r="E272" s="377">
        <v>120000</v>
      </c>
      <c r="F272" s="231"/>
      <c r="G272" s="231"/>
      <c r="H272" s="231"/>
      <c r="I272" s="278"/>
      <c r="J272" s="192"/>
    </row>
    <row r="273" spans="1:10" ht="47.25">
      <c r="A273" s="551">
        <v>11</v>
      </c>
      <c r="B273" s="302" t="s">
        <v>923</v>
      </c>
      <c r="C273" s="202"/>
      <c r="D273" s="202">
        <v>1</v>
      </c>
      <c r="E273" s="374">
        <v>60000</v>
      </c>
      <c r="F273" s="231"/>
      <c r="G273" s="231"/>
      <c r="H273" s="231"/>
      <c r="I273" s="278"/>
      <c r="J273" s="192"/>
    </row>
    <row r="274" spans="1:10" ht="31.5">
      <c r="A274" s="551">
        <v>12</v>
      </c>
      <c r="B274" s="302" t="s">
        <v>924</v>
      </c>
      <c r="C274" s="202"/>
      <c r="D274" s="202">
        <v>1</v>
      </c>
      <c r="E274" s="374">
        <v>30000</v>
      </c>
      <c r="F274" s="231"/>
      <c r="G274" s="231"/>
      <c r="H274" s="231"/>
      <c r="I274" s="278"/>
      <c r="J274" s="192"/>
    </row>
    <row r="275" spans="1:10" ht="31.5">
      <c r="A275" s="551">
        <v>13</v>
      </c>
      <c r="B275" s="302" t="s">
        <v>925</v>
      </c>
      <c r="C275" s="202"/>
      <c r="D275" s="202">
        <v>10</v>
      </c>
      <c r="E275" s="374">
        <v>50000</v>
      </c>
      <c r="F275" s="231"/>
      <c r="G275" s="231"/>
      <c r="H275" s="231"/>
      <c r="I275" s="278"/>
      <c r="J275" s="192"/>
    </row>
    <row r="276" spans="1:10" ht="31.5">
      <c r="A276" s="551">
        <v>14</v>
      </c>
      <c r="B276" s="302" t="s">
        <v>926</v>
      </c>
      <c r="C276" s="202"/>
      <c r="D276" s="202">
        <v>1</v>
      </c>
      <c r="E276" s="374">
        <v>155405.4</v>
      </c>
      <c r="F276" s="231"/>
      <c r="G276" s="231"/>
      <c r="H276" s="231"/>
      <c r="I276" s="278"/>
      <c r="J276" s="192"/>
    </row>
    <row r="277" spans="1:10" ht="15.75">
      <c r="A277" s="551">
        <v>15</v>
      </c>
      <c r="B277" s="302" t="s">
        <v>927</v>
      </c>
      <c r="C277" s="202"/>
      <c r="D277" s="202">
        <v>1</v>
      </c>
      <c r="E277" s="374">
        <v>172447</v>
      </c>
      <c r="F277" s="231"/>
      <c r="G277" s="231"/>
      <c r="H277" s="231"/>
      <c r="I277" s="278"/>
      <c r="J277" s="192"/>
    </row>
    <row r="278" spans="1:10" ht="15.75">
      <c r="A278" s="551"/>
      <c r="B278" s="552"/>
      <c r="C278" s="282"/>
      <c r="D278" s="545"/>
      <c r="E278" s="377"/>
      <c r="F278" s="231"/>
      <c r="G278" s="231"/>
      <c r="H278" s="231"/>
      <c r="I278" s="278"/>
      <c r="J278" s="192"/>
    </row>
    <row r="279" spans="1:10" ht="15.75">
      <c r="A279" s="551"/>
      <c r="B279" s="552"/>
      <c r="C279" s="282"/>
      <c r="D279" s="545"/>
      <c r="E279" s="377"/>
      <c r="F279" s="231"/>
      <c r="G279" s="231"/>
      <c r="H279" s="231"/>
      <c r="I279" s="278"/>
      <c r="J279" s="192"/>
    </row>
    <row r="280" spans="1:10" ht="15.75">
      <c r="A280" s="684" t="s">
        <v>561</v>
      </c>
      <c r="B280" s="685"/>
      <c r="C280" s="202" t="s">
        <v>562</v>
      </c>
      <c r="D280" s="202" t="s">
        <v>562</v>
      </c>
      <c r="E280" s="374">
        <f>SUM(E263:E277)</f>
        <v>2560479.56</v>
      </c>
      <c r="F280" s="276"/>
      <c r="G280" s="276"/>
      <c r="H280" s="276"/>
      <c r="I280" s="278"/>
      <c r="J280" s="192"/>
    </row>
    <row r="281" spans="1:10" ht="31.5">
      <c r="A281" s="281">
        <v>11</v>
      </c>
      <c r="B281" s="302" t="s">
        <v>750</v>
      </c>
      <c r="C281" s="282" t="s">
        <v>660</v>
      </c>
      <c r="D281" s="303">
        <v>1</v>
      </c>
      <c r="E281" s="377">
        <v>500000</v>
      </c>
      <c r="F281" s="276"/>
      <c r="G281" s="276"/>
      <c r="H281" s="276"/>
      <c r="I281" s="278"/>
      <c r="J281" s="192"/>
    </row>
    <row r="282" spans="1:10" ht="15.75">
      <c r="A282" s="684" t="s">
        <v>561</v>
      </c>
      <c r="B282" s="685"/>
      <c r="C282" s="202" t="s">
        <v>562</v>
      </c>
      <c r="D282" s="202" t="s">
        <v>562</v>
      </c>
      <c r="E282" s="374">
        <f>SUM(E281)</f>
        <v>500000</v>
      </c>
      <c r="F282" s="276"/>
      <c r="G282" s="276"/>
      <c r="H282" s="276"/>
      <c r="I282" s="278"/>
      <c r="J282" s="192"/>
    </row>
    <row r="283" spans="1:10" ht="15.75">
      <c r="A283" s="237"/>
      <c r="B283" s="192"/>
      <c r="C283" s="237"/>
      <c r="D283" s="237"/>
      <c r="E283" s="237"/>
      <c r="F283" s="237"/>
      <c r="G283" s="192"/>
      <c r="H283" s="278"/>
      <c r="I283" s="278"/>
      <c r="J283" s="192"/>
    </row>
    <row r="284" spans="1:10" ht="15.75" hidden="1">
      <c r="A284" s="283"/>
      <c r="B284" s="283" t="s">
        <v>863</v>
      </c>
      <c r="C284" s="283"/>
      <c r="D284" s="283"/>
      <c r="E284" s="283"/>
      <c r="F284" s="283"/>
      <c r="G284" s="192"/>
      <c r="H284" s="278"/>
      <c r="I284" s="278"/>
      <c r="J284" s="192"/>
    </row>
    <row r="285" spans="1:10" ht="15.75" hidden="1">
      <c r="A285" s="237"/>
      <c r="B285" s="192"/>
      <c r="C285" s="237"/>
      <c r="D285" s="237"/>
      <c r="E285" s="237"/>
      <c r="F285" s="237"/>
      <c r="G285" s="192"/>
      <c r="H285" s="278"/>
      <c r="I285" s="278"/>
      <c r="J285" s="192"/>
    </row>
    <row r="286" spans="1:10" ht="31.5" hidden="1">
      <c r="A286" s="671" t="s">
        <v>545</v>
      </c>
      <c r="B286" s="686" t="s">
        <v>566</v>
      </c>
      <c r="C286" s="686" t="s">
        <v>656</v>
      </c>
      <c r="D286" s="686" t="s">
        <v>657</v>
      </c>
      <c r="E286" s="236" t="s">
        <v>735</v>
      </c>
      <c r="F286" s="237"/>
      <c r="G286" s="237"/>
      <c r="H286" s="257"/>
      <c r="I286" s="278"/>
      <c r="J286" s="192"/>
    </row>
    <row r="287" spans="1:10" ht="31.5" hidden="1">
      <c r="A287" s="672"/>
      <c r="B287" s="686"/>
      <c r="C287" s="686"/>
      <c r="D287" s="686"/>
      <c r="E287" s="270" t="s">
        <v>736</v>
      </c>
      <c r="F287" s="364"/>
      <c r="G287" s="364"/>
      <c r="H287" s="272"/>
      <c r="I287" s="278"/>
      <c r="J287" s="192"/>
    </row>
    <row r="288" spans="1:10" ht="15.75" hidden="1">
      <c r="A288" s="281">
        <v>1</v>
      </c>
      <c r="B288" s="282">
        <v>2</v>
      </c>
      <c r="C288" s="282">
        <v>3</v>
      </c>
      <c r="D288" s="282">
        <v>4</v>
      </c>
      <c r="E288" s="274">
        <v>5</v>
      </c>
      <c r="F288" s="231"/>
      <c r="G288" s="231"/>
      <c r="H288" s="231"/>
      <c r="I288" s="278"/>
      <c r="J288" s="192"/>
    </row>
    <row r="289" spans="1:10" ht="47.25" hidden="1">
      <c r="A289" s="200">
        <v>1</v>
      </c>
      <c r="B289" s="302" t="s">
        <v>923</v>
      </c>
      <c r="C289" s="202"/>
      <c r="D289" s="202">
        <v>1</v>
      </c>
      <c r="E289" s="265"/>
      <c r="F289" s="276"/>
      <c r="G289" s="276"/>
      <c r="H289" s="276"/>
      <c r="I289" s="278"/>
      <c r="J289" s="192"/>
    </row>
    <row r="290" spans="1:10" ht="31.5" hidden="1">
      <c r="A290" s="200">
        <v>2</v>
      </c>
      <c r="B290" s="302" t="s">
        <v>924</v>
      </c>
      <c r="C290" s="202"/>
      <c r="D290" s="202">
        <v>1</v>
      </c>
      <c r="E290" s="265"/>
      <c r="F290" s="276"/>
      <c r="G290" s="276"/>
      <c r="H290" s="276"/>
      <c r="I290" s="278"/>
      <c r="J290" s="192"/>
    </row>
    <row r="291" spans="1:10" ht="31.5" hidden="1">
      <c r="A291" s="200">
        <v>3</v>
      </c>
      <c r="B291" s="302" t="s">
        <v>925</v>
      </c>
      <c r="C291" s="202"/>
      <c r="D291" s="202">
        <v>10</v>
      </c>
      <c r="E291" s="265"/>
      <c r="F291" s="276"/>
      <c r="G291" s="276"/>
      <c r="H291" s="276"/>
      <c r="I291" s="278"/>
      <c r="J291" s="192"/>
    </row>
    <row r="292" spans="1:10" ht="31.5" hidden="1">
      <c r="A292" s="200">
        <v>4</v>
      </c>
      <c r="B292" s="302" t="s">
        <v>926</v>
      </c>
      <c r="C292" s="202"/>
      <c r="D292" s="202">
        <v>1</v>
      </c>
      <c r="E292" s="265"/>
      <c r="F292" s="276"/>
      <c r="G292" s="276"/>
      <c r="H292" s="276"/>
      <c r="I292" s="278"/>
      <c r="J292" s="192"/>
    </row>
    <row r="293" spans="1:10" ht="15.75" hidden="1">
      <c r="A293" s="200">
        <v>4</v>
      </c>
      <c r="B293" s="302" t="s">
        <v>927</v>
      </c>
      <c r="C293" s="202"/>
      <c r="D293" s="202">
        <v>1</v>
      </c>
      <c r="E293" s="265"/>
      <c r="F293" s="276"/>
      <c r="G293" s="276"/>
      <c r="H293" s="276"/>
      <c r="I293" s="278"/>
      <c r="J293" s="192"/>
    </row>
    <row r="294" spans="1:10" ht="15.75" hidden="1">
      <c r="A294" s="684" t="s">
        <v>561</v>
      </c>
      <c r="B294" s="685"/>
      <c r="C294" s="202" t="s">
        <v>562</v>
      </c>
      <c r="D294" s="202" t="s">
        <v>562</v>
      </c>
      <c r="E294" s="374">
        <f>SUM(E289:E293)</f>
        <v>0</v>
      </c>
      <c r="F294" s="276"/>
      <c r="G294" s="276"/>
      <c r="H294" s="276"/>
      <c r="I294" s="278"/>
      <c r="J294" s="192"/>
    </row>
    <row r="295" spans="1:10" ht="15.75">
      <c r="A295" s="237"/>
      <c r="B295" s="192"/>
      <c r="C295" s="237"/>
      <c r="D295" s="237"/>
      <c r="E295" s="237"/>
      <c r="F295" s="237"/>
      <c r="G295" s="192"/>
      <c r="H295" s="278"/>
      <c r="I295" s="278"/>
      <c r="J295" s="192"/>
    </row>
    <row r="296" spans="1:10" ht="15.75">
      <c r="A296" s="237"/>
      <c r="B296" s="192"/>
      <c r="C296" s="237"/>
      <c r="D296" s="237"/>
      <c r="E296" s="237"/>
      <c r="F296" s="237"/>
      <c r="G296" s="192"/>
      <c r="H296" s="278"/>
      <c r="I296" s="278"/>
      <c r="J296" s="192"/>
    </row>
    <row r="297" spans="1:11" ht="53.25" customHeight="1">
      <c r="A297" s="683" t="s">
        <v>671</v>
      </c>
      <c r="B297" s="683"/>
      <c r="C297" s="683"/>
      <c r="D297" s="683"/>
      <c r="E297" s="683"/>
      <c r="F297" s="683"/>
      <c r="G297" s="683"/>
      <c r="H297" s="683"/>
      <c r="I297" s="683"/>
      <c r="J297" s="683"/>
      <c r="K297" s="683"/>
    </row>
    <row r="298" spans="1:10" ht="15.75">
      <c r="A298" s="237"/>
      <c r="B298" s="192"/>
      <c r="C298" s="237"/>
      <c r="D298" s="237"/>
      <c r="E298" s="237"/>
      <c r="F298" s="237"/>
      <c r="G298" s="192"/>
      <c r="H298" s="278"/>
      <c r="I298" s="278"/>
      <c r="J298" s="192"/>
    </row>
    <row r="299" spans="1:10" ht="15.75">
      <c r="A299" s="283"/>
      <c r="B299" s="283" t="s">
        <v>672</v>
      </c>
      <c r="C299" s="283"/>
      <c r="D299" s="283"/>
      <c r="E299" s="283"/>
      <c r="F299" s="237"/>
      <c r="G299" s="192"/>
      <c r="H299" s="278"/>
      <c r="I299" s="278"/>
      <c r="J299" s="192"/>
    </row>
    <row r="300" spans="1:10" ht="15.75">
      <c r="A300" s="237"/>
      <c r="B300" s="192"/>
      <c r="C300" s="237"/>
      <c r="D300" s="237"/>
      <c r="E300" s="237"/>
      <c r="F300" s="237"/>
      <c r="G300" s="192"/>
      <c r="H300" s="278"/>
      <c r="I300" s="278"/>
      <c r="J300" s="192"/>
    </row>
    <row r="301" spans="1:10" ht="39" customHeight="1">
      <c r="A301" s="671" t="s">
        <v>545</v>
      </c>
      <c r="B301" s="686" t="s">
        <v>1</v>
      </c>
      <c r="C301" s="686" t="s">
        <v>673</v>
      </c>
      <c r="D301" s="236" t="s">
        <v>738</v>
      </c>
      <c r="E301" s="237"/>
      <c r="F301" s="237"/>
      <c r="G301" s="257"/>
      <c r="H301" s="278"/>
      <c r="I301" s="278"/>
      <c r="J301" s="192"/>
    </row>
    <row r="302" spans="1:10" ht="31.5">
      <c r="A302" s="672"/>
      <c r="B302" s="686"/>
      <c r="C302" s="686"/>
      <c r="D302" s="270" t="s">
        <v>739</v>
      </c>
      <c r="E302" s="364"/>
      <c r="F302" s="364"/>
      <c r="G302" s="272"/>
      <c r="H302" s="278"/>
      <c r="I302" s="278"/>
      <c r="J302" s="192"/>
    </row>
    <row r="303" spans="1:10" ht="15.75">
      <c r="A303" s="281">
        <v>1</v>
      </c>
      <c r="B303" s="282">
        <v>2</v>
      </c>
      <c r="C303" s="282">
        <v>3</v>
      </c>
      <c r="D303" s="274">
        <v>5</v>
      </c>
      <c r="E303" s="231"/>
      <c r="F303" s="231"/>
      <c r="G303" s="231"/>
      <c r="H303" s="278"/>
      <c r="I303" s="278"/>
      <c r="J303" s="192"/>
    </row>
    <row r="304" spans="1:10" ht="63">
      <c r="A304" s="281">
        <v>1</v>
      </c>
      <c r="B304" s="302" t="s">
        <v>675</v>
      </c>
      <c r="C304" s="378">
        <v>3</v>
      </c>
      <c r="D304" s="379">
        <v>134000</v>
      </c>
      <c r="E304" s="231"/>
      <c r="F304" s="231"/>
      <c r="G304" s="231"/>
      <c r="H304" s="278"/>
      <c r="I304" s="278"/>
      <c r="J304" s="192"/>
    </row>
    <row r="305" spans="1:10" ht="47.25">
      <c r="A305" s="281">
        <v>2</v>
      </c>
      <c r="B305" s="302" t="s">
        <v>676</v>
      </c>
      <c r="C305" s="378">
        <v>4</v>
      </c>
      <c r="D305" s="379">
        <v>100000</v>
      </c>
      <c r="E305" s="231"/>
      <c r="F305" s="231"/>
      <c r="G305" s="231"/>
      <c r="H305" s="278"/>
      <c r="I305" s="278"/>
      <c r="J305" s="192"/>
    </row>
    <row r="306" spans="1:10" ht="15.75">
      <c r="A306" s="281">
        <v>3</v>
      </c>
      <c r="B306" s="302" t="s">
        <v>677</v>
      </c>
      <c r="C306" s="378">
        <v>2</v>
      </c>
      <c r="D306" s="379">
        <v>35000</v>
      </c>
      <c r="E306" s="231"/>
      <c r="F306" s="231"/>
      <c r="G306" s="231"/>
      <c r="H306" s="278"/>
      <c r="I306" s="278"/>
      <c r="J306" s="192"/>
    </row>
    <row r="307" spans="1:10" ht="15.75">
      <c r="A307" s="281">
        <v>4</v>
      </c>
      <c r="B307" s="302" t="s">
        <v>678</v>
      </c>
      <c r="C307" s="378">
        <v>1</v>
      </c>
      <c r="D307" s="379">
        <v>80000</v>
      </c>
      <c r="E307" s="231"/>
      <c r="F307" s="231"/>
      <c r="G307" s="231"/>
      <c r="H307" s="278"/>
      <c r="I307" s="278"/>
      <c r="J307" s="192"/>
    </row>
    <row r="308" spans="1:10" ht="31.5">
      <c r="A308" s="281">
        <v>5</v>
      </c>
      <c r="B308" s="302" t="s">
        <v>740</v>
      </c>
      <c r="C308" s="378">
        <v>1</v>
      </c>
      <c r="D308" s="379">
        <v>50000</v>
      </c>
      <c r="E308" s="231"/>
      <c r="F308" s="231"/>
      <c r="G308" s="231"/>
      <c r="H308" s="278"/>
      <c r="I308" s="278"/>
      <c r="J308" s="192"/>
    </row>
    <row r="309" spans="1:10" ht="16.5" customHeight="1">
      <c r="A309" s="281">
        <v>6</v>
      </c>
      <c r="B309" s="302" t="s">
        <v>741</v>
      </c>
      <c r="C309" s="378">
        <v>1</v>
      </c>
      <c r="D309" s="379">
        <v>80000</v>
      </c>
      <c r="E309" s="276"/>
      <c r="F309" s="276"/>
      <c r="G309" s="276"/>
      <c r="H309" s="278"/>
      <c r="I309" s="278"/>
      <c r="J309" s="192"/>
    </row>
    <row r="310" spans="1:10" ht="31.5">
      <c r="A310" s="281">
        <v>7</v>
      </c>
      <c r="B310" s="302" t="s">
        <v>742</v>
      </c>
      <c r="C310" s="378">
        <v>5</v>
      </c>
      <c r="D310" s="379">
        <f>295014.58+72402.32</f>
        <v>367416.9</v>
      </c>
      <c r="E310" s="276"/>
      <c r="F310" s="276"/>
      <c r="G310" s="276"/>
      <c r="H310" s="278"/>
      <c r="I310" s="278"/>
      <c r="J310" s="192"/>
    </row>
    <row r="311" spans="1:10" ht="31.5">
      <c r="A311" s="281">
        <v>8</v>
      </c>
      <c r="B311" s="302" t="s">
        <v>743</v>
      </c>
      <c r="C311" s="378">
        <v>24</v>
      </c>
      <c r="D311" s="379">
        <f>550000+122859.79-1000</f>
        <v>671859.79</v>
      </c>
      <c r="E311" s="276"/>
      <c r="F311" s="276"/>
      <c r="G311" s="276"/>
      <c r="H311" s="278"/>
      <c r="I311" s="278"/>
      <c r="J311" s="192"/>
    </row>
    <row r="312" spans="1:10" ht="47.25">
      <c r="A312" s="551">
        <v>9</v>
      </c>
      <c r="B312" s="302" t="s">
        <v>928</v>
      </c>
      <c r="C312" s="202">
        <v>6</v>
      </c>
      <c r="D312" s="374">
        <v>9600</v>
      </c>
      <c r="E312" s="276"/>
      <c r="F312" s="276"/>
      <c r="G312" s="276"/>
      <c r="H312" s="278"/>
      <c r="I312" s="278"/>
      <c r="J312" s="192"/>
    </row>
    <row r="313" spans="1:10" ht="47.25">
      <c r="A313" s="551">
        <v>10</v>
      </c>
      <c r="B313" s="302" t="s">
        <v>929</v>
      </c>
      <c r="C313" s="202">
        <v>1</v>
      </c>
      <c r="D313" s="374">
        <v>18000</v>
      </c>
      <c r="E313" s="276"/>
      <c r="F313" s="276"/>
      <c r="G313" s="276"/>
      <c r="H313" s="278"/>
      <c r="I313" s="278"/>
      <c r="J313" s="192"/>
    </row>
    <row r="314" spans="1:10" ht="15.75">
      <c r="A314" s="551">
        <v>11</v>
      </c>
      <c r="B314" s="302" t="s">
        <v>930</v>
      </c>
      <c r="C314" s="202">
        <v>1</v>
      </c>
      <c r="D314" s="374">
        <v>111321</v>
      </c>
      <c r="E314" s="276"/>
      <c r="F314" s="276"/>
      <c r="G314" s="276"/>
      <c r="H314" s="278"/>
      <c r="I314" s="278"/>
      <c r="J314" s="192"/>
    </row>
    <row r="315" spans="1:10" ht="31.5">
      <c r="A315" s="551">
        <v>12</v>
      </c>
      <c r="B315" s="302" t="s">
        <v>931</v>
      </c>
      <c r="C315" s="202">
        <v>36</v>
      </c>
      <c r="D315" s="374">
        <v>39079</v>
      </c>
      <c r="E315" s="276"/>
      <c r="F315" s="276"/>
      <c r="G315" s="276"/>
      <c r="H315" s="278"/>
      <c r="I315" s="278"/>
      <c r="J315" s="192"/>
    </row>
    <row r="316" spans="1:10" ht="47.25">
      <c r="A316" s="551">
        <v>13</v>
      </c>
      <c r="B316" s="302" t="s">
        <v>932</v>
      </c>
      <c r="C316" s="202">
        <v>1</v>
      </c>
      <c r="D316" s="374">
        <v>15000</v>
      </c>
      <c r="E316" s="276"/>
      <c r="F316" s="276"/>
      <c r="G316" s="276"/>
      <c r="H316" s="278"/>
      <c r="I316" s="278"/>
      <c r="J316" s="192"/>
    </row>
    <row r="317" spans="1:10" ht="15.75">
      <c r="A317" s="551"/>
      <c r="B317" s="552"/>
      <c r="C317" s="378"/>
      <c r="D317" s="379"/>
      <c r="E317" s="276"/>
      <c r="F317" s="276"/>
      <c r="G317" s="276"/>
      <c r="H317" s="278"/>
      <c r="I317" s="278"/>
      <c r="J317" s="192"/>
    </row>
    <row r="318" spans="1:10" ht="15.75">
      <c r="A318" s="551"/>
      <c r="B318" s="552"/>
      <c r="C318" s="378"/>
      <c r="D318" s="379"/>
      <c r="E318" s="276"/>
      <c r="F318" s="276"/>
      <c r="G318" s="276"/>
      <c r="H318" s="278"/>
      <c r="I318" s="278"/>
      <c r="J318" s="192"/>
    </row>
    <row r="319" spans="1:10" ht="15.75">
      <c r="A319" s="688" t="s">
        <v>561</v>
      </c>
      <c r="B319" s="689"/>
      <c r="C319" s="305" t="s">
        <v>562</v>
      </c>
      <c r="D319" s="374">
        <f>SUM(D304:D316)</f>
        <v>1711276.69</v>
      </c>
      <c r="E319" s="276"/>
      <c r="F319" s="276"/>
      <c r="G319" s="276"/>
      <c r="H319" s="278"/>
      <c r="I319" s="278"/>
      <c r="J319" s="192"/>
    </row>
    <row r="320" spans="1:10" ht="15.75">
      <c r="A320" s="237"/>
      <c r="B320" s="192"/>
      <c r="C320" s="237"/>
      <c r="D320" s="237"/>
      <c r="E320" s="237"/>
      <c r="F320" s="237"/>
      <c r="G320" s="192"/>
      <c r="H320" s="278"/>
      <c r="I320" s="278"/>
      <c r="J320" s="192"/>
    </row>
    <row r="321" spans="1:10" ht="15.75" hidden="1">
      <c r="A321" s="283"/>
      <c r="B321" s="283" t="s">
        <v>891</v>
      </c>
      <c r="C321" s="283"/>
      <c r="D321" s="283"/>
      <c r="E321" s="283"/>
      <c r="F321" s="237"/>
      <c r="G321" s="192"/>
      <c r="H321" s="278"/>
      <c r="I321" s="278"/>
      <c r="J321" s="192"/>
    </row>
    <row r="322" spans="1:10" ht="15.75" hidden="1">
      <c r="A322" s="237"/>
      <c r="B322" s="192"/>
      <c r="C322" s="237"/>
      <c r="D322" s="237"/>
      <c r="E322" s="237"/>
      <c r="F322" s="237"/>
      <c r="G322" s="192"/>
      <c r="H322" s="278"/>
      <c r="I322" s="278"/>
      <c r="J322" s="192"/>
    </row>
    <row r="323" spans="1:10" ht="31.5" hidden="1">
      <c r="A323" s="671" t="s">
        <v>545</v>
      </c>
      <c r="B323" s="686" t="s">
        <v>1</v>
      </c>
      <c r="C323" s="686" t="s">
        <v>673</v>
      </c>
      <c r="D323" s="236" t="s">
        <v>738</v>
      </c>
      <c r="E323" s="237"/>
      <c r="F323" s="237"/>
      <c r="G323" s="257"/>
      <c r="H323" s="278"/>
      <c r="I323" s="278"/>
      <c r="J323" s="192"/>
    </row>
    <row r="324" spans="1:10" ht="31.5" hidden="1">
      <c r="A324" s="672"/>
      <c r="B324" s="686"/>
      <c r="C324" s="686"/>
      <c r="D324" s="270" t="s">
        <v>739</v>
      </c>
      <c r="E324" s="364"/>
      <c r="F324" s="364"/>
      <c r="G324" s="272"/>
      <c r="H324" s="278"/>
      <c r="I324" s="278"/>
      <c r="J324" s="192"/>
    </row>
    <row r="325" spans="1:10" ht="15.75" hidden="1">
      <c r="A325" s="281">
        <v>1</v>
      </c>
      <c r="B325" s="282">
        <v>2</v>
      </c>
      <c r="C325" s="282">
        <v>3</v>
      </c>
      <c r="D325" s="274">
        <v>5</v>
      </c>
      <c r="E325" s="231"/>
      <c r="F325" s="231"/>
      <c r="G325" s="231"/>
      <c r="H325" s="278"/>
      <c r="I325" s="278"/>
      <c r="J325" s="192"/>
    </row>
    <row r="326" spans="1:10" ht="47.25" hidden="1">
      <c r="A326" s="200">
        <v>1</v>
      </c>
      <c r="B326" s="302" t="s">
        <v>928</v>
      </c>
      <c r="C326" s="202">
        <v>6</v>
      </c>
      <c r="D326" s="265"/>
      <c r="E326" s="276"/>
      <c r="F326" s="276"/>
      <c r="G326" s="276"/>
      <c r="H326" s="278"/>
      <c r="I326" s="278"/>
      <c r="J326" s="192"/>
    </row>
    <row r="327" spans="1:10" ht="47.25" hidden="1">
      <c r="A327" s="200">
        <v>2</v>
      </c>
      <c r="B327" s="302" t="s">
        <v>929</v>
      </c>
      <c r="C327" s="202">
        <v>1</v>
      </c>
      <c r="D327" s="265"/>
      <c r="E327" s="276"/>
      <c r="F327" s="276"/>
      <c r="G327" s="276"/>
      <c r="H327" s="278"/>
      <c r="I327" s="278"/>
      <c r="J327" s="192"/>
    </row>
    <row r="328" spans="1:10" ht="15.75" hidden="1">
      <c r="A328" s="200">
        <v>3</v>
      </c>
      <c r="B328" s="302" t="s">
        <v>930</v>
      </c>
      <c r="C328" s="202">
        <v>1</v>
      </c>
      <c r="D328" s="265"/>
      <c r="E328" s="276"/>
      <c r="F328" s="276"/>
      <c r="G328" s="276"/>
      <c r="H328" s="278"/>
      <c r="I328" s="278"/>
      <c r="J328" s="192"/>
    </row>
    <row r="329" spans="1:10" ht="31.5" hidden="1">
      <c r="A329" s="200">
        <v>4</v>
      </c>
      <c r="B329" s="302" t="s">
        <v>931</v>
      </c>
      <c r="C329" s="202">
        <v>36</v>
      </c>
      <c r="D329" s="265"/>
      <c r="E329" s="276"/>
      <c r="F329" s="276"/>
      <c r="G329" s="276"/>
      <c r="H329" s="278"/>
      <c r="I329" s="278"/>
      <c r="J329" s="192"/>
    </row>
    <row r="330" spans="1:10" ht="47.25" hidden="1">
      <c r="A330" s="200">
        <v>5</v>
      </c>
      <c r="B330" s="302" t="s">
        <v>932</v>
      </c>
      <c r="C330" s="202">
        <v>1</v>
      </c>
      <c r="D330" s="265"/>
      <c r="E330" s="276"/>
      <c r="F330" s="276"/>
      <c r="G330" s="276"/>
      <c r="H330" s="278"/>
      <c r="I330" s="278"/>
      <c r="J330" s="192"/>
    </row>
    <row r="331" spans="1:10" ht="15.75" hidden="1">
      <c r="A331" s="684" t="s">
        <v>561</v>
      </c>
      <c r="B331" s="685"/>
      <c r="C331" s="202" t="s">
        <v>562</v>
      </c>
      <c r="D331" s="374">
        <f>SUM(D326:D330)</f>
        <v>0</v>
      </c>
      <c r="E331" s="276"/>
      <c r="F331" s="276"/>
      <c r="G331" s="276"/>
      <c r="H331" s="278"/>
      <c r="I331" s="278"/>
      <c r="J331" s="192"/>
    </row>
    <row r="332" spans="1:10" ht="15.75">
      <c r="A332" s="237"/>
      <c r="B332" s="192"/>
      <c r="C332" s="237"/>
      <c r="D332" s="237"/>
      <c r="E332" s="237"/>
      <c r="F332" s="237"/>
      <c r="G332" s="192"/>
      <c r="H332" s="278"/>
      <c r="I332" s="278"/>
      <c r="J332" s="192"/>
    </row>
    <row r="333" spans="1:11" ht="149.25" customHeight="1">
      <c r="A333" s="683" t="s">
        <v>679</v>
      </c>
      <c r="B333" s="683"/>
      <c r="C333" s="683"/>
      <c r="D333" s="683"/>
      <c r="E333" s="683"/>
      <c r="F333" s="683"/>
      <c r="G333" s="683"/>
      <c r="H333" s="683"/>
      <c r="I333" s="683"/>
      <c r="J333" s="683"/>
      <c r="K333" s="683"/>
    </row>
    <row r="334" spans="1:10" ht="15.75">
      <c r="A334" s="237"/>
      <c r="B334" s="192"/>
      <c r="C334" s="237"/>
      <c r="D334" s="237"/>
      <c r="E334" s="237"/>
      <c r="F334" s="237"/>
      <c r="G334" s="192"/>
      <c r="H334" s="278"/>
      <c r="I334" s="278"/>
      <c r="J334" s="192"/>
    </row>
    <row r="335" spans="1:4" ht="15.75">
      <c r="A335" s="194"/>
      <c r="B335" s="194" t="s">
        <v>680</v>
      </c>
      <c r="C335" s="194"/>
      <c r="D335" s="194"/>
    </row>
    <row r="336" ht="15.75">
      <c r="B336" s="186"/>
    </row>
    <row r="337" spans="1:10" ht="50.25" customHeight="1">
      <c r="A337" s="671" t="s">
        <v>545</v>
      </c>
      <c r="B337" s="671" t="s">
        <v>566</v>
      </c>
      <c r="C337" s="673"/>
      <c r="D337" s="675" t="s">
        <v>651</v>
      </c>
      <c r="E337" s="677" t="s">
        <v>681</v>
      </c>
      <c r="F337" s="227" t="s">
        <v>744</v>
      </c>
      <c r="G337" s="353"/>
      <c r="H337" s="353"/>
      <c r="I337" s="309"/>
      <c r="J337" s="226"/>
    </row>
    <row r="338" spans="1:10" ht="41.25" customHeight="1">
      <c r="A338" s="672"/>
      <c r="B338" s="672"/>
      <c r="C338" s="674"/>
      <c r="D338" s="676"/>
      <c r="E338" s="678"/>
      <c r="F338" s="227" t="s">
        <v>745</v>
      </c>
      <c r="G338" s="353"/>
      <c r="H338" s="353"/>
      <c r="I338" s="192"/>
      <c r="J338" s="228"/>
    </row>
    <row r="339" spans="1:10" ht="15.75" customHeight="1">
      <c r="A339" s="232">
        <v>1</v>
      </c>
      <c r="B339" s="654">
        <v>2</v>
      </c>
      <c r="C339" s="655"/>
      <c r="D339" s="232">
        <v>3</v>
      </c>
      <c r="E339" s="232">
        <v>4</v>
      </c>
      <c r="F339" s="232">
        <v>5</v>
      </c>
      <c r="G339" s="278"/>
      <c r="H339" s="278"/>
      <c r="I339" s="278"/>
      <c r="J339" s="278"/>
    </row>
    <row r="340" spans="1:10" ht="15.75">
      <c r="A340" s="206">
        <v>1</v>
      </c>
      <c r="B340" s="656" t="s">
        <v>683</v>
      </c>
      <c r="C340" s="657"/>
      <c r="D340" s="200">
        <v>412</v>
      </c>
      <c r="E340" s="482">
        <v>208.12</v>
      </c>
      <c r="F340" s="265">
        <f>83248+200000</f>
        <v>283248</v>
      </c>
      <c r="G340" s="278"/>
      <c r="H340" s="278"/>
      <c r="I340" s="278"/>
      <c r="J340" s="192"/>
    </row>
    <row r="341" spans="1:10" ht="15.75">
      <c r="A341" s="206">
        <v>2</v>
      </c>
      <c r="B341" s="656" t="s">
        <v>684</v>
      </c>
      <c r="C341" s="657"/>
      <c r="D341" s="200">
        <v>1400</v>
      </c>
      <c r="E341" s="200">
        <v>15</v>
      </c>
      <c r="F341" s="265">
        <f>D341*E341</f>
        <v>21000</v>
      </c>
      <c r="G341" s="278"/>
      <c r="H341" s="278"/>
      <c r="I341" s="278"/>
      <c r="J341" s="192"/>
    </row>
    <row r="342" spans="1:10" ht="15.75">
      <c r="A342" s="206">
        <v>3</v>
      </c>
      <c r="B342" s="658" t="s">
        <v>933</v>
      </c>
      <c r="C342" s="659"/>
      <c r="D342" s="232">
        <v>1</v>
      </c>
      <c r="E342" s="232">
        <v>20000</v>
      </c>
      <c r="F342" s="363">
        <v>20000</v>
      </c>
      <c r="G342" s="278"/>
      <c r="H342" s="278"/>
      <c r="I342" s="278"/>
      <c r="J342" s="192"/>
    </row>
    <row r="343" spans="1:10" ht="15.75">
      <c r="A343" s="206">
        <v>4</v>
      </c>
      <c r="B343" s="650" t="s">
        <v>934</v>
      </c>
      <c r="C343" s="761"/>
      <c r="D343" s="232">
        <v>2</v>
      </c>
      <c r="E343" s="232">
        <v>35000</v>
      </c>
      <c r="F343" s="363">
        <v>70000</v>
      </c>
      <c r="G343" s="278"/>
      <c r="H343" s="278"/>
      <c r="I343" s="278"/>
      <c r="J343" s="192"/>
    </row>
    <row r="344" spans="1:10" ht="15.75">
      <c r="A344" s="206">
        <v>5</v>
      </c>
      <c r="B344" s="658" t="s">
        <v>935</v>
      </c>
      <c r="C344" s="659"/>
      <c r="D344" s="232">
        <v>32</v>
      </c>
      <c r="E344" s="232">
        <v>2500</v>
      </c>
      <c r="F344" s="363">
        <v>80000</v>
      </c>
      <c r="G344" s="278"/>
      <c r="H344" s="278"/>
      <c r="I344" s="278"/>
      <c r="J344" s="192"/>
    </row>
    <row r="345" spans="1:10" ht="15.75">
      <c r="A345" s="206">
        <v>6</v>
      </c>
      <c r="B345" s="658" t="s">
        <v>905</v>
      </c>
      <c r="C345" s="659"/>
      <c r="D345" s="232"/>
      <c r="E345" s="232"/>
      <c r="F345" s="363">
        <v>100000</v>
      </c>
      <c r="G345" s="278"/>
      <c r="H345" s="278"/>
      <c r="I345" s="278"/>
      <c r="J345" s="192"/>
    </row>
    <row r="346" spans="1:10" ht="15.75">
      <c r="A346" s="206"/>
      <c r="B346" s="545"/>
      <c r="C346" s="546"/>
      <c r="D346" s="200"/>
      <c r="E346" s="200"/>
      <c r="F346" s="265"/>
      <c r="G346" s="278"/>
      <c r="H346" s="278"/>
      <c r="I346" s="278"/>
      <c r="J346" s="192"/>
    </row>
    <row r="347" spans="1:10" ht="15.75">
      <c r="A347" s="206"/>
      <c r="B347" s="667"/>
      <c r="C347" s="668"/>
      <c r="D347" s="200"/>
      <c r="E347" s="200"/>
      <c r="F347" s="265"/>
      <c r="G347" s="192"/>
      <c r="H347" s="278"/>
      <c r="I347" s="278"/>
      <c r="J347" s="192"/>
    </row>
    <row r="348" spans="1:10" ht="15.75">
      <c r="A348" s="679" t="s">
        <v>571</v>
      </c>
      <c r="B348" s="680"/>
      <c r="C348" s="681"/>
      <c r="D348" s="315"/>
      <c r="E348" s="315" t="s">
        <v>562</v>
      </c>
      <c r="F348" s="374">
        <f>SUM(F340:F347)</f>
        <v>574248</v>
      </c>
      <c r="G348" s="192"/>
      <c r="H348" s="192"/>
      <c r="I348" s="192"/>
      <c r="J348" s="192"/>
    </row>
    <row r="349" ht="15.75">
      <c r="B349" s="186"/>
    </row>
    <row r="350" spans="1:4" ht="15.75" hidden="1">
      <c r="A350" s="194"/>
      <c r="B350" s="194" t="s">
        <v>904</v>
      </c>
      <c r="C350" s="194"/>
      <c r="D350" s="194"/>
    </row>
    <row r="351" ht="15.75" hidden="1">
      <c r="B351" s="186"/>
    </row>
    <row r="352" spans="1:10" ht="31.5" hidden="1">
      <c r="A352" s="671" t="s">
        <v>545</v>
      </c>
      <c r="B352" s="671" t="s">
        <v>566</v>
      </c>
      <c r="C352" s="673"/>
      <c r="D352" s="675" t="s">
        <v>651</v>
      </c>
      <c r="E352" s="677" t="s">
        <v>681</v>
      </c>
      <c r="F352" s="227" t="s">
        <v>744</v>
      </c>
      <c r="G352" s="353"/>
      <c r="H352" s="353"/>
      <c r="I352" s="309"/>
      <c r="J352" s="226"/>
    </row>
    <row r="353" spans="1:10" ht="31.5" hidden="1">
      <c r="A353" s="672"/>
      <c r="B353" s="672"/>
      <c r="C353" s="674"/>
      <c r="D353" s="676"/>
      <c r="E353" s="678"/>
      <c r="F353" s="227" t="s">
        <v>745</v>
      </c>
      <c r="G353" s="353"/>
      <c r="H353" s="353"/>
      <c r="I353" s="192"/>
      <c r="J353" s="228"/>
    </row>
    <row r="354" spans="1:10" ht="15.75" hidden="1">
      <c r="A354" s="232">
        <v>1</v>
      </c>
      <c r="B354" s="654">
        <v>2</v>
      </c>
      <c r="C354" s="655"/>
      <c r="D354" s="232">
        <v>3</v>
      </c>
      <c r="E354" s="232">
        <v>4</v>
      </c>
      <c r="F354" s="232">
        <v>5</v>
      </c>
      <c r="G354" s="278"/>
      <c r="H354" s="278"/>
      <c r="I354" s="278"/>
      <c r="J354" s="278"/>
    </row>
    <row r="355" spans="1:10" ht="15.75" hidden="1">
      <c r="A355" s="232">
        <v>1</v>
      </c>
      <c r="B355" s="658" t="s">
        <v>933</v>
      </c>
      <c r="C355" s="659"/>
      <c r="D355" s="232">
        <v>1</v>
      </c>
      <c r="E355" s="232">
        <v>20000</v>
      </c>
      <c r="F355" s="355"/>
      <c r="G355" s="278"/>
      <c r="H355" s="278"/>
      <c r="I355" s="278"/>
      <c r="J355" s="192"/>
    </row>
    <row r="356" spans="1:10" ht="15.75" hidden="1">
      <c r="A356" s="232">
        <v>2</v>
      </c>
      <c r="B356" s="650" t="s">
        <v>934</v>
      </c>
      <c r="C356" s="761"/>
      <c r="D356" s="232">
        <v>2</v>
      </c>
      <c r="E356" s="232">
        <v>35000</v>
      </c>
      <c r="F356" s="355"/>
      <c r="G356" s="278"/>
      <c r="H356" s="278"/>
      <c r="I356" s="278"/>
      <c r="J356" s="192"/>
    </row>
    <row r="357" spans="1:10" ht="15.75" hidden="1">
      <c r="A357" s="232">
        <v>3</v>
      </c>
      <c r="B357" s="658" t="s">
        <v>935</v>
      </c>
      <c r="C357" s="659"/>
      <c r="D357" s="232">
        <v>32</v>
      </c>
      <c r="E357" s="232">
        <v>2500</v>
      </c>
      <c r="F357" s="355"/>
      <c r="G357" s="278"/>
      <c r="H357" s="278"/>
      <c r="I357" s="278"/>
      <c r="J357" s="192"/>
    </row>
    <row r="358" spans="1:10" ht="15.75" hidden="1">
      <c r="A358" s="232">
        <v>4</v>
      </c>
      <c r="B358" s="658" t="s">
        <v>905</v>
      </c>
      <c r="C358" s="659"/>
      <c r="D358" s="232"/>
      <c r="E358" s="232"/>
      <c r="F358" s="355"/>
      <c r="G358" s="192"/>
      <c r="H358" s="278"/>
      <c r="I358" s="278"/>
      <c r="J358" s="192"/>
    </row>
    <row r="359" spans="1:10" ht="15.75" hidden="1">
      <c r="A359" s="650" t="s">
        <v>571</v>
      </c>
      <c r="B359" s="651"/>
      <c r="C359" s="652"/>
      <c r="D359" s="200"/>
      <c r="E359" s="200" t="s">
        <v>562</v>
      </c>
      <c r="F359" s="374">
        <f>SUM(F355:F358)</f>
        <v>0</v>
      </c>
      <c r="G359" s="192"/>
      <c r="H359" s="192"/>
      <c r="I359" s="192"/>
      <c r="J359" s="192"/>
    </row>
    <row r="360" ht="15.75">
      <c r="B360" s="186"/>
    </row>
    <row r="361" spans="1:4" ht="15.75">
      <c r="A361" s="194"/>
      <c r="B361" s="194" t="s">
        <v>686</v>
      </c>
      <c r="C361" s="194"/>
      <c r="D361" s="194"/>
    </row>
    <row r="362" ht="15.75">
      <c r="B362" s="186"/>
    </row>
    <row r="363" spans="1:10" ht="41.25" customHeight="1">
      <c r="A363" s="671" t="s">
        <v>545</v>
      </c>
      <c r="B363" s="671" t="s">
        <v>566</v>
      </c>
      <c r="C363" s="673"/>
      <c r="D363" s="675" t="s">
        <v>651</v>
      </c>
      <c r="E363" s="677" t="s">
        <v>681</v>
      </c>
      <c r="F363" s="227" t="s">
        <v>744</v>
      </c>
      <c r="G363" s="353"/>
      <c r="H363" s="353"/>
      <c r="I363" s="309"/>
      <c r="J363" s="226"/>
    </row>
    <row r="364" spans="1:10" ht="42.75" customHeight="1">
      <c r="A364" s="672"/>
      <c r="B364" s="672"/>
      <c r="C364" s="674"/>
      <c r="D364" s="676"/>
      <c r="E364" s="678"/>
      <c r="F364" s="227" t="s">
        <v>745</v>
      </c>
      <c r="G364" s="353"/>
      <c r="H364" s="353"/>
      <c r="I364" s="192"/>
      <c r="J364" s="228"/>
    </row>
    <row r="365" spans="1:10" ht="15.75" customHeight="1">
      <c r="A365" s="232">
        <v>1</v>
      </c>
      <c r="B365" s="654">
        <v>2</v>
      </c>
      <c r="C365" s="655"/>
      <c r="D365" s="232">
        <v>3</v>
      </c>
      <c r="E365" s="232">
        <v>4</v>
      </c>
      <c r="F365" s="232">
        <v>5</v>
      </c>
      <c r="G365" s="278"/>
      <c r="H365" s="278"/>
      <c r="I365" s="278"/>
      <c r="J365" s="278"/>
    </row>
    <row r="366" spans="1:10" ht="15.75">
      <c r="A366" s="206">
        <v>1</v>
      </c>
      <c r="B366" s="667" t="s">
        <v>691</v>
      </c>
      <c r="C366" s="668"/>
      <c r="D366" s="206">
        <v>1000</v>
      </c>
      <c r="E366" s="206">
        <v>50</v>
      </c>
      <c r="F366" s="265">
        <v>50000</v>
      </c>
      <c r="G366" s="278"/>
      <c r="H366" s="278"/>
      <c r="I366" s="278"/>
      <c r="J366" s="192"/>
    </row>
    <row r="367" spans="1:10" ht="15.75">
      <c r="A367" s="206">
        <v>2</v>
      </c>
      <c r="B367" s="667" t="s">
        <v>752</v>
      </c>
      <c r="C367" s="762"/>
      <c r="D367" s="206">
        <v>1000</v>
      </c>
      <c r="E367" s="206">
        <v>50</v>
      </c>
      <c r="F367" s="265">
        <v>50000</v>
      </c>
      <c r="G367" s="278"/>
      <c r="H367" s="278"/>
      <c r="I367" s="278"/>
      <c r="J367" s="192"/>
    </row>
    <row r="368" spans="1:10" ht="15.75">
      <c r="A368" s="206">
        <v>3</v>
      </c>
      <c r="B368" s="667" t="s">
        <v>753</v>
      </c>
      <c r="C368" s="762"/>
      <c r="D368" s="206">
        <v>1000</v>
      </c>
      <c r="E368" s="206">
        <v>100</v>
      </c>
      <c r="F368" s="265">
        <v>100000</v>
      </c>
      <c r="G368" s="278"/>
      <c r="H368" s="278"/>
      <c r="I368" s="278"/>
      <c r="J368" s="192"/>
    </row>
    <row r="369" spans="1:10" ht="15.75">
      <c r="A369" s="206">
        <v>4</v>
      </c>
      <c r="B369" s="654" t="s">
        <v>762</v>
      </c>
      <c r="C369" s="763"/>
      <c r="D369" s="410">
        <v>500</v>
      </c>
      <c r="E369" s="410">
        <f>F369/D369</f>
        <v>200</v>
      </c>
      <c r="F369" s="355">
        <v>100000</v>
      </c>
      <c r="G369" s="192"/>
      <c r="H369" s="278"/>
      <c r="I369" s="278"/>
      <c r="J369" s="192"/>
    </row>
    <row r="370" spans="1:10" ht="15.75">
      <c r="A370" s="264">
        <v>5</v>
      </c>
      <c r="B370" s="650" t="s">
        <v>936</v>
      </c>
      <c r="C370" s="652"/>
      <c r="D370" s="206"/>
      <c r="E370" s="206"/>
      <c r="F370" s="374">
        <v>1555471.18</v>
      </c>
      <c r="G370" s="192"/>
      <c r="H370" s="278"/>
      <c r="I370" s="278"/>
      <c r="J370" s="192"/>
    </row>
    <row r="371" spans="1:10" ht="15.75">
      <c r="A371" s="264">
        <v>6</v>
      </c>
      <c r="B371" s="650" t="s">
        <v>937</v>
      </c>
      <c r="C371" s="761"/>
      <c r="D371" s="206"/>
      <c r="E371" s="206"/>
      <c r="F371" s="374">
        <v>117685.77</v>
      </c>
      <c r="G371" s="192"/>
      <c r="H371" s="278"/>
      <c r="I371" s="278"/>
      <c r="J371" s="192"/>
    </row>
    <row r="372" spans="1:10" ht="15.75">
      <c r="A372" s="264">
        <v>7</v>
      </c>
      <c r="B372" s="650" t="s">
        <v>938</v>
      </c>
      <c r="C372" s="761"/>
      <c r="D372" s="206"/>
      <c r="E372" s="206"/>
      <c r="F372" s="374">
        <v>2872908.35</v>
      </c>
      <c r="G372" s="192"/>
      <c r="H372" s="278"/>
      <c r="I372" s="278"/>
      <c r="J372" s="192"/>
    </row>
    <row r="373" spans="1:10" ht="15.75">
      <c r="A373" s="264">
        <v>8</v>
      </c>
      <c r="B373" s="650" t="s">
        <v>846</v>
      </c>
      <c r="C373" s="761"/>
      <c r="D373" s="206"/>
      <c r="E373" s="206"/>
      <c r="F373" s="374">
        <v>100000</v>
      </c>
      <c r="G373" s="192"/>
      <c r="H373" s="278"/>
      <c r="I373" s="278"/>
      <c r="J373" s="192"/>
    </row>
    <row r="374" spans="1:10" ht="15.75">
      <c r="A374" s="264">
        <v>9</v>
      </c>
      <c r="B374" s="650" t="s">
        <v>939</v>
      </c>
      <c r="C374" s="652"/>
      <c r="D374" s="206"/>
      <c r="E374" s="206"/>
      <c r="F374" s="374">
        <v>20000</v>
      </c>
      <c r="G374" s="192"/>
      <c r="H374" s="278"/>
      <c r="I374" s="278"/>
      <c r="J374" s="192"/>
    </row>
    <row r="375" spans="1:10" ht="15.75">
      <c r="A375" s="264">
        <v>10</v>
      </c>
      <c r="B375" s="650" t="s">
        <v>911</v>
      </c>
      <c r="C375" s="652"/>
      <c r="D375" s="206"/>
      <c r="E375" s="206"/>
      <c r="F375" s="374">
        <v>10000</v>
      </c>
      <c r="G375" s="192"/>
      <c r="H375" s="278"/>
      <c r="I375" s="278"/>
      <c r="J375" s="192"/>
    </row>
    <row r="376" spans="1:10" ht="15.75">
      <c r="A376" s="264">
        <v>11</v>
      </c>
      <c r="B376" s="650" t="s">
        <v>940</v>
      </c>
      <c r="C376" s="652"/>
      <c r="D376" s="206"/>
      <c r="E376" s="206"/>
      <c r="F376" s="374">
        <v>45000</v>
      </c>
      <c r="G376" s="192"/>
      <c r="H376" s="278"/>
      <c r="I376" s="278"/>
      <c r="J376" s="192"/>
    </row>
    <row r="377" spans="1:10" ht="15.75">
      <c r="A377" s="264"/>
      <c r="B377" s="550"/>
      <c r="C377" s="548"/>
      <c r="D377" s="410"/>
      <c r="E377" s="410"/>
      <c r="F377" s="355"/>
      <c r="G377" s="192"/>
      <c r="H377" s="278"/>
      <c r="I377" s="278"/>
      <c r="J377" s="192"/>
    </row>
    <row r="378" spans="1:10" ht="15.75">
      <c r="A378" s="264"/>
      <c r="B378" s="550"/>
      <c r="C378" s="548"/>
      <c r="D378" s="410"/>
      <c r="E378" s="410"/>
      <c r="F378" s="355"/>
      <c r="G378" s="192"/>
      <c r="H378" s="278"/>
      <c r="I378" s="278"/>
      <c r="J378" s="192"/>
    </row>
    <row r="379" spans="1:256" s="194" customFormat="1" ht="15.75">
      <c r="A379" s="679" t="s">
        <v>571</v>
      </c>
      <c r="B379" s="680"/>
      <c r="C379" s="681"/>
      <c r="D379" s="315"/>
      <c r="E379" s="315" t="s">
        <v>562</v>
      </c>
      <c r="F379" s="374">
        <f>SUM(F366:F376)</f>
        <v>5021065.3</v>
      </c>
      <c r="G379" s="223"/>
      <c r="H379" s="223"/>
      <c r="I379" s="223"/>
      <c r="J379" s="223"/>
      <c r="IV379" s="403">
        <f>SUM(F379:IU379)</f>
        <v>5021065.3</v>
      </c>
    </row>
    <row r="380" spans="1:256" s="194" customFormat="1" ht="15.75">
      <c r="A380" s="533"/>
      <c r="B380" s="533"/>
      <c r="C380" s="533"/>
      <c r="D380" s="515"/>
      <c r="E380" s="515"/>
      <c r="F380" s="541"/>
      <c r="G380" s="223"/>
      <c r="H380" s="223"/>
      <c r="I380" s="223"/>
      <c r="J380" s="223"/>
      <c r="IV380" s="403"/>
    </row>
    <row r="381" spans="1:4" ht="15.75" hidden="1">
      <c r="A381" s="194"/>
      <c r="B381" s="194" t="s">
        <v>908</v>
      </c>
      <c r="C381" s="194"/>
      <c r="D381" s="194"/>
    </row>
    <row r="382" ht="15.75" hidden="1">
      <c r="B382" s="186"/>
    </row>
    <row r="383" spans="1:10" ht="31.5" hidden="1">
      <c r="A383" s="671" t="s">
        <v>545</v>
      </c>
      <c r="B383" s="671" t="s">
        <v>566</v>
      </c>
      <c r="C383" s="673"/>
      <c r="D383" s="675" t="s">
        <v>651</v>
      </c>
      <c r="E383" s="677" t="s">
        <v>681</v>
      </c>
      <c r="F383" s="227" t="s">
        <v>744</v>
      </c>
      <c r="G383" s="353"/>
      <c r="H383" s="353"/>
      <c r="I383" s="309"/>
      <c r="J383" s="226"/>
    </row>
    <row r="384" spans="1:10" ht="31.5" hidden="1">
      <c r="A384" s="672"/>
      <c r="B384" s="672"/>
      <c r="C384" s="674"/>
      <c r="D384" s="676"/>
      <c r="E384" s="678"/>
      <c r="F384" s="227" t="s">
        <v>745</v>
      </c>
      <c r="G384" s="353"/>
      <c r="H384" s="353"/>
      <c r="I384" s="192"/>
      <c r="J384" s="228"/>
    </row>
    <row r="385" spans="1:10" ht="15.75" hidden="1">
      <c r="A385" s="232">
        <v>1</v>
      </c>
      <c r="B385" s="654">
        <v>2</v>
      </c>
      <c r="C385" s="655"/>
      <c r="D385" s="232">
        <v>3</v>
      </c>
      <c r="E385" s="232">
        <v>4</v>
      </c>
      <c r="F385" s="232">
        <v>5</v>
      </c>
      <c r="G385" s="278"/>
      <c r="H385" s="278"/>
      <c r="I385" s="278"/>
      <c r="J385" s="278"/>
    </row>
    <row r="386" spans="1:10" ht="15.75" hidden="1">
      <c r="A386" s="206">
        <v>1</v>
      </c>
      <c r="B386" s="650" t="s">
        <v>936</v>
      </c>
      <c r="C386" s="652"/>
      <c r="D386" s="206"/>
      <c r="E386" s="206"/>
      <c r="F386" s="265"/>
      <c r="G386" s="278"/>
      <c r="H386" s="278"/>
      <c r="I386" s="278"/>
      <c r="J386" s="192"/>
    </row>
    <row r="387" spans="1:10" ht="15.75" hidden="1">
      <c r="A387" s="206">
        <v>2</v>
      </c>
      <c r="B387" s="650" t="s">
        <v>937</v>
      </c>
      <c r="C387" s="761"/>
      <c r="D387" s="206"/>
      <c r="E387" s="206"/>
      <c r="F387" s="265"/>
      <c r="G387" s="278"/>
      <c r="H387" s="278"/>
      <c r="I387" s="278"/>
      <c r="J387" s="192"/>
    </row>
    <row r="388" spans="1:10" ht="15.75" hidden="1">
      <c r="A388" s="206">
        <v>3</v>
      </c>
      <c r="B388" s="650" t="s">
        <v>938</v>
      </c>
      <c r="C388" s="761"/>
      <c r="D388" s="206"/>
      <c r="E388" s="206"/>
      <c r="F388" s="265"/>
      <c r="G388" s="278"/>
      <c r="H388" s="278"/>
      <c r="I388" s="278"/>
      <c r="J388" s="192"/>
    </row>
    <row r="389" spans="1:10" ht="15.75" hidden="1">
      <c r="A389" s="206">
        <v>4</v>
      </c>
      <c r="B389" s="650" t="s">
        <v>846</v>
      </c>
      <c r="C389" s="761"/>
      <c r="D389" s="206"/>
      <c r="E389" s="206"/>
      <c r="F389" s="265"/>
      <c r="G389" s="278"/>
      <c r="H389" s="278"/>
      <c r="I389" s="278"/>
      <c r="J389" s="192"/>
    </row>
    <row r="390" spans="1:10" ht="15.75" hidden="1">
      <c r="A390" s="206">
        <v>5</v>
      </c>
      <c r="B390" s="650" t="s">
        <v>939</v>
      </c>
      <c r="C390" s="652"/>
      <c r="D390" s="206"/>
      <c r="E390" s="206"/>
      <c r="F390" s="265"/>
      <c r="G390" s="278"/>
      <c r="H390" s="278"/>
      <c r="I390" s="278"/>
      <c r="J390" s="192"/>
    </row>
    <row r="391" spans="1:10" ht="15.75" hidden="1">
      <c r="A391" s="206">
        <v>6</v>
      </c>
      <c r="B391" s="650" t="s">
        <v>911</v>
      </c>
      <c r="C391" s="652"/>
      <c r="D391" s="206"/>
      <c r="E391" s="206"/>
      <c r="F391" s="265"/>
      <c r="G391" s="278"/>
      <c r="H391" s="278"/>
      <c r="I391" s="278"/>
      <c r="J391" s="192"/>
    </row>
    <row r="392" spans="1:10" ht="15.75" hidden="1">
      <c r="A392" s="206">
        <v>6</v>
      </c>
      <c r="B392" s="650" t="s">
        <v>940</v>
      </c>
      <c r="C392" s="652"/>
      <c r="D392" s="206"/>
      <c r="E392" s="206"/>
      <c r="F392" s="265"/>
      <c r="G392" s="192"/>
      <c r="H392" s="278"/>
      <c r="I392" s="278"/>
      <c r="J392" s="192"/>
    </row>
    <row r="393" spans="1:10" ht="15.75" hidden="1">
      <c r="A393" s="650" t="s">
        <v>571</v>
      </c>
      <c r="B393" s="651"/>
      <c r="C393" s="652"/>
      <c r="D393" s="200"/>
      <c r="E393" s="200" t="s">
        <v>562</v>
      </c>
      <c r="F393" s="374">
        <f>SUM(F386:F392)</f>
        <v>0</v>
      </c>
      <c r="G393" s="192"/>
      <c r="H393" s="192"/>
      <c r="I393" s="192"/>
      <c r="J393" s="192"/>
    </row>
    <row r="394" spans="1:256" s="194" customFormat="1" ht="15.75">
      <c r="A394" s="533"/>
      <c r="B394" s="533"/>
      <c r="C394" s="533"/>
      <c r="D394" s="515"/>
      <c r="E394" s="515"/>
      <c r="F394" s="541"/>
      <c r="G394" s="223"/>
      <c r="H394" s="223"/>
      <c r="I394" s="223"/>
      <c r="J394" s="223"/>
      <c r="IV394" s="403"/>
    </row>
    <row r="395" spans="1:256" s="194" customFormat="1" ht="15.75">
      <c r="A395" s="533"/>
      <c r="B395" s="533"/>
      <c r="C395" s="533"/>
      <c r="D395" s="515"/>
      <c r="E395" s="515"/>
      <c r="F395" s="541"/>
      <c r="G395" s="223"/>
      <c r="H395" s="223"/>
      <c r="I395" s="223"/>
      <c r="J395" s="223"/>
      <c r="IV395" s="403"/>
    </row>
    <row r="396" spans="1:11" ht="135" customHeight="1">
      <c r="A396" s="670" t="s">
        <v>692</v>
      </c>
      <c r="B396" s="670"/>
      <c r="C396" s="670"/>
      <c r="D396" s="670"/>
      <c r="E396" s="670"/>
      <c r="F396" s="670"/>
      <c r="G396" s="670"/>
      <c r="H396" s="670"/>
      <c r="I396" s="670"/>
      <c r="J396" s="670"/>
      <c r="K396" s="670"/>
    </row>
    <row r="397" ht="15.75">
      <c r="B397" s="186"/>
    </row>
    <row r="398" spans="1:4" ht="15.75">
      <c r="A398" s="194"/>
      <c r="B398" s="194" t="s">
        <v>693</v>
      </c>
      <c r="C398" s="194"/>
      <c r="D398" s="194"/>
    </row>
    <row r="399" ht="15.75">
      <c r="B399" s="186"/>
    </row>
    <row r="400" spans="1:10" ht="48" customHeight="1">
      <c r="A400" s="671" t="s">
        <v>545</v>
      </c>
      <c r="B400" s="671" t="s">
        <v>566</v>
      </c>
      <c r="C400" s="673"/>
      <c r="D400" s="675" t="s">
        <v>651</v>
      </c>
      <c r="E400" s="677" t="s">
        <v>681</v>
      </c>
      <c r="F400" s="227" t="s">
        <v>744</v>
      </c>
      <c r="G400" s="353"/>
      <c r="H400" s="353"/>
      <c r="I400" s="309"/>
      <c r="J400" s="226"/>
    </row>
    <row r="401" spans="1:10" ht="49.5" customHeight="1">
      <c r="A401" s="672"/>
      <c r="B401" s="672"/>
      <c r="C401" s="674"/>
      <c r="D401" s="676"/>
      <c r="E401" s="678"/>
      <c r="F401" s="227" t="s">
        <v>746</v>
      </c>
      <c r="G401" s="353"/>
      <c r="H401" s="353"/>
      <c r="I401" s="192"/>
      <c r="J401" s="228"/>
    </row>
    <row r="402" spans="1:10" ht="15.75" customHeight="1">
      <c r="A402" s="232">
        <v>1</v>
      </c>
      <c r="B402" s="654">
        <v>2</v>
      </c>
      <c r="C402" s="655"/>
      <c r="D402" s="232">
        <v>3</v>
      </c>
      <c r="E402" s="232">
        <v>4</v>
      </c>
      <c r="F402" s="232">
        <v>5</v>
      </c>
      <c r="G402" s="278"/>
      <c r="H402" s="278"/>
      <c r="I402" s="278"/>
      <c r="J402" s="278"/>
    </row>
    <row r="403" spans="1:10" ht="15.75" customHeight="1">
      <c r="A403" s="232">
        <v>1</v>
      </c>
      <c r="B403" s="233"/>
      <c r="C403" s="310"/>
      <c r="D403" s="232"/>
      <c r="E403" s="232"/>
      <c r="F403" s="355"/>
      <c r="G403" s="278"/>
      <c r="H403" s="278"/>
      <c r="I403" s="278"/>
      <c r="J403" s="278"/>
    </row>
    <row r="404" spans="1:10" ht="15.75">
      <c r="A404" s="206"/>
      <c r="B404" s="667"/>
      <c r="C404" s="668"/>
      <c r="D404" s="206"/>
      <c r="E404" s="206"/>
      <c r="F404" s="355"/>
      <c r="G404" s="278"/>
      <c r="H404" s="278"/>
      <c r="I404" s="278"/>
      <c r="J404" s="192"/>
    </row>
    <row r="405" spans="1:10" ht="15.75">
      <c r="A405" s="206"/>
      <c r="B405" s="667"/>
      <c r="C405" s="668"/>
      <c r="D405" s="206"/>
      <c r="E405" s="206"/>
      <c r="F405" s="355"/>
      <c r="G405" s="192"/>
      <c r="H405" s="278"/>
      <c r="I405" s="278"/>
      <c r="J405" s="192"/>
    </row>
    <row r="406" spans="1:10" s="194" customFormat="1" ht="15.75">
      <c r="A406" s="679" t="s">
        <v>571</v>
      </c>
      <c r="B406" s="680"/>
      <c r="C406" s="681"/>
      <c r="D406" s="315"/>
      <c r="E406" s="315" t="s">
        <v>562</v>
      </c>
      <c r="F406" s="374">
        <f>SUM(F403:F405)</f>
        <v>0</v>
      </c>
      <c r="G406" s="223"/>
      <c r="H406" s="223"/>
      <c r="I406" s="223"/>
      <c r="J406" s="223"/>
    </row>
    <row r="409" spans="1:4" ht="18.75">
      <c r="A409" s="316" t="s">
        <v>694</v>
      </c>
      <c r="B409" s="316"/>
      <c r="C409" s="316"/>
      <c r="D409" s="317"/>
    </row>
    <row r="410" spans="1:4" ht="15.75">
      <c r="A410" s="319"/>
      <c r="B410" s="320"/>
      <c r="C410" s="320"/>
      <c r="D410" s="321"/>
    </row>
    <row r="411" spans="1:4" ht="31.5">
      <c r="A411" s="322" t="s">
        <v>545</v>
      </c>
      <c r="B411" s="669" t="s">
        <v>695</v>
      </c>
      <c r="C411" s="669"/>
      <c r="D411" s="323" t="s">
        <v>696</v>
      </c>
    </row>
    <row r="412" spans="1:4" ht="15.75">
      <c r="A412" s="325">
        <v>1</v>
      </c>
      <c r="B412" s="662" t="s">
        <v>718</v>
      </c>
      <c r="C412" s="662"/>
      <c r="D412" s="380">
        <f>J26+F55+F64+F94+G128+G150+E179+E194+F211+E222+F234+E255+E280+D319+F348+F379+F406+E282+F393+F359+D331+E294+F244+G164+F112+J45</f>
        <v>18701125.242</v>
      </c>
    </row>
    <row r="415" spans="1:5" ht="15.75">
      <c r="A415" s="186" t="s">
        <v>699</v>
      </c>
      <c r="C415" s="186" t="s">
        <v>700</v>
      </c>
      <c r="E415" s="186" t="s">
        <v>701</v>
      </c>
    </row>
    <row r="417" spans="1:3" ht="15.75">
      <c r="A417" s="186" t="s">
        <v>13</v>
      </c>
      <c r="C417" s="186" t="s">
        <v>700</v>
      </c>
    </row>
  </sheetData>
  <sheetProtection/>
  <mergeCells count="258">
    <mergeCell ref="B92:D92"/>
    <mergeCell ref="B86:D86"/>
    <mergeCell ref="B87:D87"/>
    <mergeCell ref="B88:D88"/>
    <mergeCell ref="B89:D89"/>
    <mergeCell ref="B90:D90"/>
    <mergeCell ref="B91:D91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28:K28"/>
    <mergeCell ref="A36:A38"/>
    <mergeCell ref="B36:B38"/>
    <mergeCell ref="C36:C38"/>
    <mergeCell ref="D36:G36"/>
    <mergeCell ref="H36:H38"/>
    <mergeCell ref="I36:I38"/>
    <mergeCell ref="J36:J38"/>
    <mergeCell ref="K36:K38"/>
    <mergeCell ref="E37:G37"/>
    <mergeCell ref="A45:B45"/>
    <mergeCell ref="A46:K46"/>
    <mergeCell ref="B47:K47"/>
    <mergeCell ref="B48:I48"/>
    <mergeCell ref="A50:A51"/>
    <mergeCell ref="B50:B51"/>
    <mergeCell ref="C50:C51"/>
    <mergeCell ref="D50:D51"/>
    <mergeCell ref="E50:E51"/>
    <mergeCell ref="A55:B55"/>
    <mergeCell ref="B57:F57"/>
    <mergeCell ref="A59:A60"/>
    <mergeCell ref="B59:B60"/>
    <mergeCell ref="C59:C60"/>
    <mergeCell ref="D59:D60"/>
    <mergeCell ref="E59:E60"/>
    <mergeCell ref="A64:B64"/>
    <mergeCell ref="B66:I66"/>
    <mergeCell ref="A68:A69"/>
    <mergeCell ref="B68:D69"/>
    <mergeCell ref="E68:E69"/>
    <mergeCell ref="B70:D70"/>
    <mergeCell ref="B71:D71"/>
    <mergeCell ref="B72:D72"/>
    <mergeCell ref="B73:D73"/>
    <mergeCell ref="B74:D74"/>
    <mergeCell ref="B75:D75"/>
    <mergeCell ref="B76:D76"/>
    <mergeCell ref="B77:D77"/>
    <mergeCell ref="B78:D78"/>
    <mergeCell ref="B79:D79"/>
    <mergeCell ref="B80:D80"/>
    <mergeCell ref="B81:D81"/>
    <mergeCell ref="A94:D94"/>
    <mergeCell ref="B82:D82"/>
    <mergeCell ref="B83:D83"/>
    <mergeCell ref="B84:D84"/>
    <mergeCell ref="B85:D85"/>
    <mergeCell ref="B96:I96"/>
    <mergeCell ref="A98:A99"/>
    <mergeCell ref="B98:D99"/>
    <mergeCell ref="E98:E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A112:D112"/>
    <mergeCell ref="A115:K115"/>
    <mergeCell ref="B116:F116"/>
    <mergeCell ref="A117:K117"/>
    <mergeCell ref="A123:A124"/>
    <mergeCell ref="B123:D124"/>
    <mergeCell ref="E123:E124"/>
    <mergeCell ref="F123:F124"/>
    <mergeCell ref="B125:D125"/>
    <mergeCell ref="B126:D126"/>
    <mergeCell ref="B127:D127"/>
    <mergeCell ref="A128:D128"/>
    <mergeCell ref="A130:K130"/>
    <mergeCell ref="A132:K132"/>
    <mergeCell ref="A138:A139"/>
    <mergeCell ref="B138:C139"/>
    <mergeCell ref="D138:D139"/>
    <mergeCell ref="E138:E139"/>
    <mergeCell ref="F138:G138"/>
    <mergeCell ref="B140:C140"/>
    <mergeCell ref="B141:C141"/>
    <mergeCell ref="B142:C142"/>
    <mergeCell ref="B143:C143"/>
    <mergeCell ref="B144:C144"/>
    <mergeCell ref="B145:C145"/>
    <mergeCell ref="B146:C146"/>
    <mergeCell ref="A150:C150"/>
    <mergeCell ref="A152:K152"/>
    <mergeCell ref="A158:A159"/>
    <mergeCell ref="B158:C159"/>
    <mergeCell ref="D158:D159"/>
    <mergeCell ref="E158:E159"/>
    <mergeCell ref="F158:G158"/>
    <mergeCell ref="B160:C160"/>
    <mergeCell ref="B161:C161"/>
    <mergeCell ref="B162:C162"/>
    <mergeCell ref="B163:C163"/>
    <mergeCell ref="A164:C164"/>
    <mergeCell ref="A166:K166"/>
    <mergeCell ref="A168:K168"/>
    <mergeCell ref="A169:E169"/>
    <mergeCell ref="A174:A175"/>
    <mergeCell ref="B174:B175"/>
    <mergeCell ref="C174:C175"/>
    <mergeCell ref="D174:D175"/>
    <mergeCell ref="A179:B179"/>
    <mergeCell ref="A181:K181"/>
    <mergeCell ref="A183:K183"/>
    <mergeCell ref="A189:A190"/>
    <mergeCell ref="B189:B190"/>
    <mergeCell ref="C189:C190"/>
    <mergeCell ref="D189:D190"/>
    <mergeCell ref="A194:B194"/>
    <mergeCell ref="A196:K196"/>
    <mergeCell ref="A198:K198"/>
    <mergeCell ref="A206:A207"/>
    <mergeCell ref="B206:B207"/>
    <mergeCell ref="C206:C207"/>
    <mergeCell ref="D206:D207"/>
    <mergeCell ref="E206:E207"/>
    <mergeCell ref="A211:B211"/>
    <mergeCell ref="A213:K213"/>
    <mergeCell ref="A217:A218"/>
    <mergeCell ref="B217:B218"/>
    <mergeCell ref="C217:C218"/>
    <mergeCell ref="D217:D218"/>
    <mergeCell ref="A222:B222"/>
    <mergeCell ref="A224:K224"/>
    <mergeCell ref="A228:A229"/>
    <mergeCell ref="B228:B229"/>
    <mergeCell ref="C228:C229"/>
    <mergeCell ref="D228:D229"/>
    <mergeCell ref="E228:E229"/>
    <mergeCell ref="A234:B234"/>
    <mergeCell ref="A238:A239"/>
    <mergeCell ref="B238:B239"/>
    <mergeCell ref="C238:C239"/>
    <mergeCell ref="D238:D239"/>
    <mergeCell ref="E238:E239"/>
    <mergeCell ref="A244:B244"/>
    <mergeCell ref="A246:K246"/>
    <mergeCell ref="A250:A251"/>
    <mergeCell ref="B250:B251"/>
    <mergeCell ref="C250:C251"/>
    <mergeCell ref="D250:D251"/>
    <mergeCell ref="A255:B255"/>
    <mergeCell ref="A256:K256"/>
    <mergeCell ref="A260:A261"/>
    <mergeCell ref="B260:B261"/>
    <mergeCell ref="C260:C261"/>
    <mergeCell ref="D260:D261"/>
    <mergeCell ref="A280:B280"/>
    <mergeCell ref="A282:B282"/>
    <mergeCell ref="A286:A287"/>
    <mergeCell ref="B286:B287"/>
    <mergeCell ref="C286:C287"/>
    <mergeCell ref="D286:D287"/>
    <mergeCell ref="A294:B294"/>
    <mergeCell ref="A297:K297"/>
    <mergeCell ref="A301:A302"/>
    <mergeCell ref="B301:B302"/>
    <mergeCell ref="C301:C302"/>
    <mergeCell ref="A319:B319"/>
    <mergeCell ref="A323:A324"/>
    <mergeCell ref="B323:B324"/>
    <mergeCell ref="C323:C324"/>
    <mergeCell ref="A331:B331"/>
    <mergeCell ref="A333:K333"/>
    <mergeCell ref="A337:A338"/>
    <mergeCell ref="B337:C338"/>
    <mergeCell ref="D337:D338"/>
    <mergeCell ref="E337:E338"/>
    <mergeCell ref="B339:C339"/>
    <mergeCell ref="B340:C340"/>
    <mergeCell ref="B341:C341"/>
    <mergeCell ref="B347:C347"/>
    <mergeCell ref="A348:C348"/>
    <mergeCell ref="A352:A353"/>
    <mergeCell ref="B352:C353"/>
    <mergeCell ref="D352:D353"/>
    <mergeCell ref="E352:E353"/>
    <mergeCell ref="B354:C354"/>
    <mergeCell ref="B355:C355"/>
    <mergeCell ref="B356:C356"/>
    <mergeCell ref="B357:C357"/>
    <mergeCell ref="B358:C358"/>
    <mergeCell ref="A359:C359"/>
    <mergeCell ref="A363:A364"/>
    <mergeCell ref="B363:C364"/>
    <mergeCell ref="D363:D364"/>
    <mergeCell ref="E363:E364"/>
    <mergeCell ref="B366:C366"/>
    <mergeCell ref="B367:C367"/>
    <mergeCell ref="B368:C368"/>
    <mergeCell ref="B369:C369"/>
    <mergeCell ref="A379:C379"/>
    <mergeCell ref="B370:C370"/>
    <mergeCell ref="B371:C371"/>
    <mergeCell ref="B372:C372"/>
    <mergeCell ref="B373:C373"/>
    <mergeCell ref="A383:A384"/>
    <mergeCell ref="B383:C384"/>
    <mergeCell ref="D383:D384"/>
    <mergeCell ref="E383:E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A393:C393"/>
    <mergeCell ref="A396:K396"/>
    <mergeCell ref="A400:A401"/>
    <mergeCell ref="B400:C401"/>
    <mergeCell ref="D400:D401"/>
    <mergeCell ref="E400:E401"/>
    <mergeCell ref="B402:C402"/>
    <mergeCell ref="B404:C404"/>
    <mergeCell ref="B405:C405"/>
    <mergeCell ref="A406:C406"/>
    <mergeCell ref="B411:C411"/>
    <mergeCell ref="B412:C412"/>
    <mergeCell ref="B147:C147"/>
    <mergeCell ref="B148:C148"/>
    <mergeCell ref="B374:C374"/>
    <mergeCell ref="B375:C375"/>
    <mergeCell ref="B376:C376"/>
    <mergeCell ref="B342:C342"/>
    <mergeCell ref="B343:C343"/>
    <mergeCell ref="B344:C344"/>
    <mergeCell ref="B345:C345"/>
    <mergeCell ref="B365:C36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4" r:id="rId1"/>
  <rowBreaks count="10" manualBreakCount="10">
    <brk id="45" max="10" man="1"/>
    <brk id="65" max="10" man="1"/>
    <brk id="115" max="10" man="1"/>
    <brk id="167" max="255" man="1"/>
    <brk id="197" max="255" man="1"/>
    <brk id="225" max="255" man="1"/>
    <brk id="247" max="10" man="1"/>
    <brk id="296" max="10" man="1"/>
    <brk id="320" max="10" man="1"/>
    <brk id="3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1"/>
  <sheetViews>
    <sheetView view="pageBreakPreview" zoomScale="85" zoomScaleNormal="70" zoomScaleSheetLayoutView="85" zoomScalePageLayoutView="0" workbookViewId="0" topLeftCell="A1">
      <selection activeCell="H13" sqref="H13"/>
    </sheetView>
  </sheetViews>
  <sheetFormatPr defaultColWidth="9.140625" defaultRowHeight="15"/>
  <cols>
    <col min="1" max="1" width="15.8515625" style="0" customWidth="1"/>
    <col min="2" max="2" width="31.57421875" style="0" bestFit="1" customWidth="1"/>
    <col min="3" max="3" width="22.140625" style="0" bestFit="1" customWidth="1"/>
    <col min="4" max="4" width="20.7109375" style="0" bestFit="1" customWidth="1"/>
    <col min="5" max="5" width="21.8515625" style="0" customWidth="1"/>
    <col min="7" max="7" width="12.421875" style="0" bestFit="1" customWidth="1"/>
    <col min="8" max="8" width="10.7109375" style="0" bestFit="1" customWidth="1"/>
  </cols>
  <sheetData>
    <row r="1" spans="1:5" ht="18.75">
      <c r="A1" s="771" t="s">
        <v>767</v>
      </c>
      <c r="B1" s="771"/>
      <c r="C1" s="771"/>
      <c r="D1" s="771"/>
      <c r="E1" s="771"/>
    </row>
    <row r="2" spans="1:5" ht="18.75">
      <c r="A2" s="772" t="s">
        <v>950</v>
      </c>
      <c r="B2" s="772"/>
      <c r="C2" s="772"/>
      <c r="D2" s="772"/>
      <c r="E2" s="772"/>
    </row>
    <row r="3" spans="1:5" ht="18.75">
      <c r="A3" s="411"/>
      <c r="B3" s="411"/>
      <c r="C3" s="411"/>
      <c r="D3" s="411"/>
      <c r="E3" s="412"/>
    </row>
    <row r="4" spans="1:5" ht="36.75" customHeight="1">
      <c r="A4" s="773" t="s">
        <v>784</v>
      </c>
      <c r="B4" s="773"/>
      <c r="C4" s="773"/>
      <c r="D4" s="773"/>
      <c r="E4" s="773"/>
    </row>
    <row r="5" spans="1:5" ht="16.5">
      <c r="A5" s="413"/>
      <c r="B5" s="413"/>
      <c r="C5" s="413"/>
      <c r="D5" s="413"/>
      <c r="E5" s="414"/>
    </row>
    <row r="6" spans="1:5" ht="16.5">
      <c r="A6" s="413"/>
      <c r="B6" s="413"/>
      <c r="C6" s="413"/>
      <c r="D6" s="413"/>
      <c r="E6" s="414"/>
    </row>
    <row r="7" spans="1:5" ht="18.75">
      <c r="A7" s="774" t="s">
        <v>768</v>
      </c>
      <c r="B7" s="774"/>
      <c r="C7" s="774"/>
      <c r="D7" s="774"/>
      <c r="E7" s="774"/>
    </row>
    <row r="8" spans="1:5" ht="16.5">
      <c r="A8" s="413"/>
      <c r="B8" s="413"/>
      <c r="C8" s="413"/>
      <c r="D8" s="413"/>
      <c r="E8" s="414"/>
    </row>
    <row r="9" spans="1:5" ht="31.5">
      <c r="A9" s="416" t="s">
        <v>164</v>
      </c>
      <c r="B9" s="417" t="s">
        <v>849</v>
      </c>
      <c r="C9" s="417" t="s">
        <v>951</v>
      </c>
      <c r="D9" s="417" t="s">
        <v>769</v>
      </c>
      <c r="E9" s="417" t="s">
        <v>770</v>
      </c>
    </row>
    <row r="10" spans="1:5" ht="31.5">
      <c r="A10" s="418">
        <v>121</v>
      </c>
      <c r="B10" s="419">
        <f>673583.04</f>
        <v>673583.04</v>
      </c>
      <c r="C10" s="419">
        <f>673583.04+62500</f>
        <v>736083.04</v>
      </c>
      <c r="D10" s="419">
        <f aca="true" t="shared" si="0" ref="D10:D23">C10-B10</f>
        <v>62500</v>
      </c>
      <c r="E10" s="420" t="s">
        <v>952</v>
      </c>
    </row>
    <row r="11" spans="1:5" ht="15.75">
      <c r="A11" s="418">
        <v>124</v>
      </c>
      <c r="B11" s="419">
        <v>50000</v>
      </c>
      <c r="C11" s="419">
        <v>50000</v>
      </c>
      <c r="D11" s="419">
        <f t="shared" si="0"/>
        <v>0</v>
      </c>
      <c r="E11" s="420"/>
    </row>
    <row r="12" spans="1:5" ht="31.5">
      <c r="A12" s="418">
        <v>131</v>
      </c>
      <c r="B12" s="419">
        <f>12394000+50000+62140</f>
        <v>12506140</v>
      </c>
      <c r="C12" s="419">
        <f>12394000+50000+10000+62140-11106+50000</f>
        <v>12555034</v>
      </c>
      <c r="D12" s="419">
        <f t="shared" si="0"/>
        <v>48894</v>
      </c>
      <c r="E12" s="420" t="s">
        <v>952</v>
      </c>
    </row>
    <row r="13" spans="1:5" ht="15.75">
      <c r="A13" s="418">
        <v>135</v>
      </c>
      <c r="B13" s="419">
        <f>357000+7000</f>
        <v>364000</v>
      </c>
      <c r="C13" s="419">
        <f>357000+7000</f>
        <v>364000</v>
      </c>
      <c r="D13" s="419">
        <f t="shared" si="0"/>
        <v>0</v>
      </c>
      <c r="E13" s="420"/>
    </row>
    <row r="14" spans="1:5" ht="15.75">
      <c r="A14" s="421">
        <v>155</v>
      </c>
      <c r="B14" s="419"/>
      <c r="C14" s="419"/>
      <c r="D14" s="419">
        <f t="shared" si="0"/>
        <v>0</v>
      </c>
      <c r="E14" s="420"/>
    </row>
    <row r="15" spans="1:5" ht="31.5">
      <c r="A15" s="418">
        <v>189</v>
      </c>
      <c r="B15" s="419">
        <v>-112140</v>
      </c>
      <c r="C15" s="419">
        <f>-112140-111394</f>
        <v>-223534</v>
      </c>
      <c r="D15" s="419">
        <f t="shared" si="0"/>
        <v>-111394</v>
      </c>
      <c r="E15" s="420" t="s">
        <v>952</v>
      </c>
    </row>
    <row r="16" spans="1:5" ht="31.5">
      <c r="A16" s="422" t="s">
        <v>771</v>
      </c>
      <c r="B16" s="423">
        <f>SUM(B10:B15)</f>
        <v>13481583.04</v>
      </c>
      <c r="C16" s="423">
        <f>SUM(C10:C15)</f>
        <v>13481583.04</v>
      </c>
      <c r="D16" s="419">
        <f t="shared" si="0"/>
        <v>0</v>
      </c>
      <c r="E16" s="420"/>
    </row>
    <row r="17" spans="1:5" ht="15.75">
      <c r="A17" s="422">
        <v>111</v>
      </c>
      <c r="B17" s="424">
        <f>B18+B19</f>
        <v>5724164.65</v>
      </c>
      <c r="C17" s="424">
        <f>C18+C19</f>
        <v>5724164.65</v>
      </c>
      <c r="D17" s="419">
        <f aca="true" t="shared" si="1" ref="D17:D22">C17-B17</f>
        <v>0</v>
      </c>
      <c r="E17" s="420"/>
    </row>
    <row r="18" spans="1:5" ht="15.75">
      <c r="A18" s="422" t="s">
        <v>787</v>
      </c>
      <c r="B18" s="424">
        <v>5716164.65</v>
      </c>
      <c r="C18" s="424">
        <v>5716164.65</v>
      </c>
      <c r="D18" s="419">
        <f t="shared" si="1"/>
        <v>0</v>
      </c>
      <c r="E18" s="420"/>
    </row>
    <row r="19" spans="1:5" ht="15.75">
      <c r="A19" s="422" t="s">
        <v>788</v>
      </c>
      <c r="B19" s="424">
        <v>8000</v>
      </c>
      <c r="C19" s="424">
        <v>8000</v>
      </c>
      <c r="D19" s="419">
        <f t="shared" si="1"/>
        <v>0</v>
      </c>
      <c r="E19" s="420"/>
    </row>
    <row r="20" spans="1:5" ht="15.75">
      <c r="A20" s="422">
        <v>112</v>
      </c>
      <c r="B20" s="424"/>
      <c r="C20" s="424"/>
      <c r="D20" s="419">
        <f t="shared" si="1"/>
        <v>0</v>
      </c>
      <c r="E20" s="420"/>
    </row>
    <row r="21" spans="1:5" ht="15.75">
      <c r="A21" s="417">
        <v>212</v>
      </c>
      <c r="B21" s="425"/>
      <c r="C21" s="425"/>
      <c r="D21" s="419">
        <f t="shared" si="1"/>
        <v>0</v>
      </c>
      <c r="E21" s="420"/>
    </row>
    <row r="22" spans="1:5" ht="15.75">
      <c r="A22" s="417">
        <v>226</v>
      </c>
      <c r="B22" s="425"/>
      <c r="C22" s="425"/>
      <c r="D22" s="419">
        <f t="shared" si="1"/>
        <v>0</v>
      </c>
      <c r="E22" s="420"/>
    </row>
    <row r="23" spans="1:5" ht="15.75">
      <c r="A23" s="422">
        <v>119</v>
      </c>
      <c r="B23" s="424">
        <v>1728697.65</v>
      </c>
      <c r="C23" s="424">
        <v>1728697.65</v>
      </c>
      <c r="D23" s="419">
        <f t="shared" si="0"/>
        <v>0</v>
      </c>
      <c r="E23" s="420"/>
    </row>
    <row r="24" spans="1:5" ht="15.75">
      <c r="A24" s="422">
        <v>244</v>
      </c>
      <c r="B24" s="426">
        <f>SUM(B25:B38)</f>
        <v>10786516.940000001</v>
      </c>
      <c r="C24" s="426">
        <f>SUM(C25:C38)</f>
        <v>10786516.940000001</v>
      </c>
      <c r="D24" s="419">
        <f>C24-B24</f>
        <v>0</v>
      </c>
      <c r="E24" s="420"/>
    </row>
    <row r="25" spans="1:5" ht="15.75">
      <c r="A25" s="417">
        <v>221</v>
      </c>
      <c r="B25" s="426">
        <v>3500</v>
      </c>
      <c r="C25" s="426">
        <v>3500</v>
      </c>
      <c r="D25" s="419">
        <f aca="true" t="shared" si="2" ref="D25:D45">C25-B25</f>
        <v>0</v>
      </c>
      <c r="E25" s="420"/>
    </row>
    <row r="26" spans="1:5" ht="15.75">
      <c r="A26" s="417">
        <v>222</v>
      </c>
      <c r="B26" s="426">
        <v>11000</v>
      </c>
      <c r="C26" s="426">
        <v>11000</v>
      </c>
      <c r="D26" s="419">
        <f t="shared" si="2"/>
        <v>0</v>
      </c>
      <c r="E26" s="420"/>
    </row>
    <row r="27" spans="1:5" ht="15.75">
      <c r="A27" s="417">
        <v>223</v>
      </c>
      <c r="B27" s="426">
        <v>404947.39</v>
      </c>
      <c r="C27" s="426">
        <v>404947.39</v>
      </c>
      <c r="D27" s="419">
        <f t="shared" si="2"/>
        <v>0</v>
      </c>
      <c r="E27" s="420"/>
    </row>
    <row r="28" spans="1:5" ht="15.75">
      <c r="A28" s="417">
        <v>225</v>
      </c>
      <c r="B28" s="426">
        <f>2092627.16+467852.4</f>
        <v>2560479.56</v>
      </c>
      <c r="C28" s="426">
        <f>2092627.16+467852.4</f>
        <v>2560479.56</v>
      </c>
      <c r="D28" s="419">
        <f t="shared" si="2"/>
        <v>0</v>
      </c>
      <c r="E28" s="420"/>
    </row>
    <row r="29" spans="1:5" ht="15.75">
      <c r="A29" s="417">
        <v>226</v>
      </c>
      <c r="B29" s="426">
        <f>1518276.69+193000</f>
        <v>1711276.69</v>
      </c>
      <c r="C29" s="426">
        <f>1518276.69+193000</f>
        <v>1711276.69</v>
      </c>
      <c r="D29" s="419">
        <f t="shared" si="2"/>
        <v>0</v>
      </c>
      <c r="E29" s="420"/>
    </row>
    <row r="30" spans="1:5" ht="15.75">
      <c r="A30" s="417">
        <v>228</v>
      </c>
      <c r="B30" s="426">
        <v>500000</v>
      </c>
      <c r="C30" s="426">
        <v>500000</v>
      </c>
      <c r="D30" s="419">
        <f t="shared" si="2"/>
        <v>0</v>
      </c>
      <c r="E30" s="427"/>
    </row>
    <row r="31" spans="1:5" ht="15.75">
      <c r="A31" s="417">
        <v>310</v>
      </c>
      <c r="B31" s="426">
        <f>304248+270000</f>
        <v>574248</v>
      </c>
      <c r="C31" s="426">
        <f>304248+270000</f>
        <v>574248</v>
      </c>
      <c r="D31" s="419">
        <f t="shared" si="2"/>
        <v>0</v>
      </c>
      <c r="E31" s="420"/>
    </row>
    <row r="32" spans="1:5" ht="15.75">
      <c r="A32" s="417">
        <v>341</v>
      </c>
      <c r="B32" s="426">
        <v>50000</v>
      </c>
      <c r="C32" s="426">
        <v>50000</v>
      </c>
      <c r="D32" s="419">
        <f t="shared" si="2"/>
        <v>0</v>
      </c>
      <c r="E32" s="420"/>
    </row>
    <row r="33" spans="1:5" ht="15.75">
      <c r="A33" s="417">
        <v>342</v>
      </c>
      <c r="B33" s="426">
        <v>4546065.3</v>
      </c>
      <c r="C33" s="426">
        <v>4546065.3</v>
      </c>
      <c r="D33" s="419">
        <f t="shared" si="2"/>
        <v>0</v>
      </c>
      <c r="E33" s="420"/>
    </row>
    <row r="34" spans="1:5" ht="15.75">
      <c r="A34" s="417">
        <v>344</v>
      </c>
      <c r="B34" s="426">
        <v>50000</v>
      </c>
      <c r="C34" s="426">
        <v>50000</v>
      </c>
      <c r="D34" s="419">
        <f t="shared" si="2"/>
        <v>0</v>
      </c>
      <c r="E34" s="427"/>
    </row>
    <row r="35" spans="1:5" ht="15.75">
      <c r="A35" s="417">
        <v>345</v>
      </c>
      <c r="B35" s="426">
        <v>100000</v>
      </c>
      <c r="C35" s="426">
        <v>100000</v>
      </c>
      <c r="D35" s="419">
        <f t="shared" si="2"/>
        <v>0</v>
      </c>
      <c r="E35" s="420"/>
    </row>
    <row r="36" spans="1:5" ht="15.75">
      <c r="A36" s="417">
        <v>346</v>
      </c>
      <c r="B36" s="426">
        <v>175000</v>
      </c>
      <c r="C36" s="426">
        <v>175000</v>
      </c>
      <c r="D36" s="419">
        <f t="shared" si="2"/>
        <v>0</v>
      </c>
      <c r="E36" s="420"/>
    </row>
    <row r="37" spans="1:5" ht="15.75">
      <c r="A37" s="417">
        <v>349</v>
      </c>
      <c r="B37" s="419">
        <v>100000</v>
      </c>
      <c r="C37" s="419">
        <v>100000</v>
      </c>
      <c r="D37" s="419">
        <f t="shared" si="2"/>
        <v>0</v>
      </c>
      <c r="E37" s="420"/>
    </row>
    <row r="38" spans="1:5" ht="42" customHeight="1" hidden="1">
      <c r="A38" s="417">
        <v>297</v>
      </c>
      <c r="B38" s="426"/>
      <c r="C38" s="426"/>
      <c r="D38" s="419">
        <f t="shared" si="2"/>
        <v>0</v>
      </c>
      <c r="E38" s="420"/>
    </row>
    <row r="39" spans="1:5" ht="40.5" customHeight="1" hidden="1">
      <c r="A39" s="422" t="s">
        <v>789</v>
      </c>
      <c r="B39" s="426"/>
      <c r="C39" s="426"/>
      <c r="D39" s="419">
        <f t="shared" si="2"/>
        <v>0</v>
      </c>
      <c r="E39" s="420"/>
    </row>
    <row r="40" spans="1:5" ht="30.75" customHeight="1" hidden="1">
      <c r="A40" s="422"/>
      <c r="B40" s="426"/>
      <c r="C40" s="426"/>
      <c r="D40" s="419">
        <f t="shared" si="2"/>
        <v>0</v>
      </c>
      <c r="E40" s="420"/>
    </row>
    <row r="41" spans="1:5" ht="15.75">
      <c r="A41" s="422" t="s">
        <v>773</v>
      </c>
      <c r="B41" s="426">
        <f>292718+107028</f>
        <v>399746</v>
      </c>
      <c r="C41" s="426">
        <f>292718+107028</f>
        <v>399746</v>
      </c>
      <c r="D41" s="419">
        <f t="shared" si="2"/>
        <v>0</v>
      </c>
      <c r="E41" s="420"/>
    </row>
    <row r="42" spans="1:5" ht="37.5" customHeight="1">
      <c r="A42" s="422" t="s">
        <v>774</v>
      </c>
      <c r="B42" s="426"/>
      <c r="C42" s="426"/>
      <c r="D42" s="419">
        <f t="shared" si="2"/>
        <v>0</v>
      </c>
      <c r="E42" s="427"/>
    </row>
    <row r="43" spans="1:5" ht="15.75">
      <c r="A43" s="422" t="s">
        <v>790</v>
      </c>
      <c r="B43" s="426">
        <v>3000</v>
      </c>
      <c r="C43" s="426">
        <v>3000</v>
      </c>
      <c r="D43" s="419">
        <f t="shared" si="2"/>
        <v>0</v>
      </c>
      <c r="E43" s="427"/>
    </row>
    <row r="44" spans="1:5" ht="15.75">
      <c r="A44" s="422" t="s">
        <v>850</v>
      </c>
      <c r="B44" s="426">
        <v>30000</v>
      </c>
      <c r="C44" s="426">
        <v>30000</v>
      </c>
      <c r="D44" s="419">
        <f t="shared" si="2"/>
        <v>0</v>
      </c>
      <c r="E44" s="420"/>
    </row>
    <row r="45" spans="1:5" ht="15.75">
      <c r="A45" s="422" t="s">
        <v>775</v>
      </c>
      <c r="B45" s="426">
        <v>29000</v>
      </c>
      <c r="C45" s="426">
        <v>29000</v>
      </c>
      <c r="D45" s="419">
        <f t="shared" si="2"/>
        <v>0</v>
      </c>
      <c r="E45" s="420"/>
    </row>
    <row r="46" spans="1:5" ht="31.5">
      <c r="A46" s="422" t="s">
        <v>776</v>
      </c>
      <c r="B46" s="428">
        <f>B41+B23+B24+B17+B45+B42+B20+B43+B44</f>
        <v>18701125.240000002</v>
      </c>
      <c r="C46" s="428">
        <f>C41+C23+C24+C17+C45+C42+C20+C43+C44</f>
        <v>18701125.240000002</v>
      </c>
      <c r="D46" s="419">
        <f>C46-B46</f>
        <v>0</v>
      </c>
      <c r="E46" s="420"/>
    </row>
    <row r="47" spans="1:5" ht="16.5">
      <c r="A47" s="429"/>
      <c r="B47" s="430"/>
      <c r="C47" s="430"/>
      <c r="D47" s="430"/>
      <c r="E47" s="431"/>
    </row>
    <row r="48" spans="1:5" ht="18.75">
      <c r="A48" s="774" t="s">
        <v>777</v>
      </c>
      <c r="B48" s="774"/>
      <c r="C48" s="774"/>
      <c r="D48" s="774"/>
      <c r="E48" s="774"/>
    </row>
    <row r="49" spans="1:5" ht="16.5">
      <c r="A49" s="413"/>
      <c r="B49" s="413"/>
      <c r="C49" s="413"/>
      <c r="D49" s="413"/>
      <c r="E49" s="414"/>
    </row>
    <row r="50" spans="1:5" ht="31.5">
      <c r="A50" s="416" t="s">
        <v>164</v>
      </c>
      <c r="B50" s="417" t="s">
        <v>848</v>
      </c>
      <c r="C50" s="417" t="s">
        <v>849</v>
      </c>
      <c r="D50" s="417" t="s">
        <v>769</v>
      </c>
      <c r="E50" s="417" t="s">
        <v>770</v>
      </c>
    </row>
    <row r="51" spans="1:5" ht="15.75">
      <c r="A51" s="418">
        <v>131</v>
      </c>
      <c r="B51" s="432">
        <v>46600575.79</v>
      </c>
      <c r="C51" s="432">
        <v>46600575.79</v>
      </c>
      <c r="D51" s="433">
        <f aca="true" t="shared" si="3" ref="D51:D81">C51-B51</f>
        <v>0</v>
      </c>
      <c r="E51" s="427"/>
    </row>
    <row r="52" spans="1:5" ht="31.5">
      <c r="A52" s="422" t="s">
        <v>771</v>
      </c>
      <c r="B52" s="423">
        <f>B51</f>
        <v>46600575.79</v>
      </c>
      <c r="C52" s="423">
        <f>C51</f>
        <v>46600575.79</v>
      </c>
      <c r="D52" s="433">
        <f t="shared" si="3"/>
        <v>0</v>
      </c>
      <c r="E52" s="427"/>
    </row>
    <row r="53" spans="1:5" ht="15.75">
      <c r="A53" s="422">
        <v>111</v>
      </c>
      <c r="B53" s="419">
        <f>B54+B55</f>
        <v>28546867.53</v>
      </c>
      <c r="C53" s="419">
        <f>C54+C55</f>
        <v>28546867.53</v>
      </c>
      <c r="D53" s="433">
        <f t="shared" si="3"/>
        <v>0</v>
      </c>
      <c r="E53" s="427"/>
    </row>
    <row r="54" spans="1:8" ht="15.75">
      <c r="A54" s="417">
        <v>211</v>
      </c>
      <c r="B54" s="419">
        <f>18286841.5+8164695.17+1951335.52-123437.53</f>
        <v>28279434.66</v>
      </c>
      <c r="C54" s="419">
        <f>18286841.5+8164695.17+1951335.52-123437.53</f>
        <v>28279434.66</v>
      </c>
      <c r="D54" s="433">
        <f t="shared" si="3"/>
        <v>0</v>
      </c>
      <c r="E54" s="427"/>
      <c r="H54" s="470"/>
    </row>
    <row r="55" spans="1:5" ht="45" customHeight="1">
      <c r="A55" s="417">
        <v>266</v>
      </c>
      <c r="B55" s="419">
        <f>127432.87+140000</f>
        <v>267432.87</v>
      </c>
      <c r="C55" s="419">
        <f>127432.87+140000</f>
        <v>267432.87</v>
      </c>
      <c r="D55" s="433">
        <f t="shared" si="3"/>
        <v>0</v>
      </c>
      <c r="E55" s="427"/>
    </row>
    <row r="56" spans="1:5" ht="15.75">
      <c r="A56" s="422" t="s">
        <v>778</v>
      </c>
      <c r="B56" s="419">
        <f>778.3+555</f>
        <v>1333.3</v>
      </c>
      <c r="C56" s="419">
        <f>778.3+555</f>
        <v>1333.3</v>
      </c>
      <c r="D56" s="433">
        <f t="shared" si="3"/>
        <v>0</v>
      </c>
      <c r="E56" s="427"/>
    </row>
    <row r="57" spans="1:5" ht="15.75">
      <c r="A57" s="422" t="s">
        <v>851</v>
      </c>
      <c r="B57" s="419">
        <v>110000</v>
      </c>
      <c r="C57" s="419">
        <v>110000</v>
      </c>
      <c r="D57" s="433">
        <f t="shared" si="3"/>
        <v>0</v>
      </c>
      <c r="E57" s="427"/>
    </row>
    <row r="58" spans="1:8" ht="15.75">
      <c r="A58" s="422">
        <v>119</v>
      </c>
      <c r="B58" s="419">
        <f>5522630.18+2501977.57+595342.46-37278.14</f>
        <v>8582672.07</v>
      </c>
      <c r="C58" s="419">
        <f>5522630.18+2501977.57+595342.46-37278.14</f>
        <v>8582672.07</v>
      </c>
      <c r="D58" s="433">
        <f t="shared" si="3"/>
        <v>0</v>
      </c>
      <c r="E58" s="427"/>
      <c r="G58" s="435"/>
      <c r="H58" s="471"/>
    </row>
    <row r="59" spans="1:5" ht="15.75">
      <c r="A59" s="422">
        <v>244</v>
      </c>
      <c r="B59" s="419">
        <f>SUM(B61:B76)</f>
        <v>9877211.440000001</v>
      </c>
      <c r="C59" s="419">
        <f>SUM(C61:C76)</f>
        <v>9877211.440000001</v>
      </c>
      <c r="D59" s="433">
        <f t="shared" si="3"/>
        <v>0</v>
      </c>
      <c r="E59" s="427"/>
    </row>
    <row r="60" spans="1:5" ht="15.75" hidden="1">
      <c r="A60" s="422">
        <v>321</v>
      </c>
      <c r="B60" s="419"/>
      <c r="C60" s="419"/>
      <c r="D60" s="433">
        <f t="shared" si="3"/>
        <v>0</v>
      </c>
      <c r="E60" s="427"/>
    </row>
    <row r="61" spans="1:5" ht="15.75">
      <c r="A61" s="417">
        <v>221</v>
      </c>
      <c r="B61" s="419">
        <f>72000+32000.1+2644.09+45806.4+55800</f>
        <v>208250.59</v>
      </c>
      <c r="C61" s="419">
        <f>72000+32000.1+2644.09+45806.4+55800</f>
        <v>208250.59</v>
      </c>
      <c r="D61" s="433">
        <f t="shared" si="3"/>
        <v>0</v>
      </c>
      <c r="E61" s="427"/>
    </row>
    <row r="62" spans="1:5" ht="15.75">
      <c r="A62" s="417">
        <v>223</v>
      </c>
      <c r="B62" s="419">
        <v>3093486.76</v>
      </c>
      <c r="C62" s="419">
        <v>3093486.76</v>
      </c>
      <c r="D62" s="433">
        <f t="shared" si="3"/>
        <v>0</v>
      </c>
      <c r="E62" s="427"/>
    </row>
    <row r="63" spans="1:5" ht="15.75">
      <c r="A63" s="417">
        <v>225</v>
      </c>
      <c r="B63" s="419">
        <f>132945.86+1837882.27+431000.92+82473.9-5176-23614.26-3750</f>
        <v>2451762.69</v>
      </c>
      <c r="C63" s="419">
        <f>132945.86+1837882.27+431000.92+82473.9-5176-23614.26-3750</f>
        <v>2451762.69</v>
      </c>
      <c r="D63" s="433">
        <f t="shared" si="3"/>
        <v>0</v>
      </c>
      <c r="E63" s="427"/>
    </row>
    <row r="64" spans="1:5" ht="15.75">
      <c r="A64" s="417">
        <v>226</v>
      </c>
      <c r="B64" s="419">
        <f>305456.9+312180+15000+760001.56+146857.44</f>
        <v>1539495.9</v>
      </c>
      <c r="C64" s="419">
        <f>305456.9+312180+15000+760001.56+146857.44</f>
        <v>1539495.9</v>
      </c>
      <c r="D64" s="433">
        <f t="shared" si="3"/>
        <v>0</v>
      </c>
      <c r="E64" s="427"/>
    </row>
    <row r="65" spans="1:5" ht="15.75">
      <c r="A65" s="417">
        <v>227</v>
      </c>
      <c r="B65" s="419">
        <v>8000</v>
      </c>
      <c r="C65" s="419">
        <v>8000</v>
      </c>
      <c r="D65" s="433">
        <f t="shared" si="3"/>
        <v>0</v>
      </c>
      <c r="E65" s="427"/>
    </row>
    <row r="66" spans="1:5" ht="15.75">
      <c r="A66" s="417">
        <v>228</v>
      </c>
      <c r="B66" s="419">
        <v>962846.06</v>
      </c>
      <c r="C66" s="419">
        <v>962846.06</v>
      </c>
      <c r="D66" s="433">
        <f t="shared" si="3"/>
        <v>0</v>
      </c>
      <c r="E66" s="427"/>
    </row>
    <row r="67" spans="1:5" ht="15.75">
      <c r="A67" s="417">
        <v>310</v>
      </c>
      <c r="B67" s="419">
        <f>399789.61+313210.29+194337.7+74307.91</f>
        <v>981645.5099999999</v>
      </c>
      <c r="C67" s="419">
        <f>399789.61+313210.29+194337.7+74307.91</f>
        <v>981645.5099999999</v>
      </c>
      <c r="D67" s="433">
        <f t="shared" si="3"/>
        <v>0</v>
      </c>
      <c r="E67" s="427"/>
    </row>
    <row r="68" spans="1:5" ht="15.75" hidden="1">
      <c r="A68" s="417">
        <v>321</v>
      </c>
      <c r="B68" s="419"/>
      <c r="C68" s="419"/>
      <c r="D68" s="433">
        <f t="shared" si="3"/>
        <v>0</v>
      </c>
      <c r="E68" s="427"/>
    </row>
    <row r="69" spans="1:5" ht="15.75">
      <c r="A69" s="417">
        <v>341</v>
      </c>
      <c r="B69" s="419">
        <v>7000</v>
      </c>
      <c r="C69" s="419">
        <v>7000</v>
      </c>
      <c r="D69" s="433">
        <f t="shared" si="3"/>
        <v>0</v>
      </c>
      <c r="E69" s="427"/>
    </row>
    <row r="70" spans="1:5" ht="15.75">
      <c r="A70" s="417">
        <v>342</v>
      </c>
      <c r="B70" s="419">
        <v>437421.05</v>
      </c>
      <c r="C70" s="419">
        <v>437421.05</v>
      </c>
      <c r="D70" s="433">
        <f t="shared" si="3"/>
        <v>0</v>
      </c>
      <c r="E70" s="427"/>
    </row>
    <row r="71" spans="1:5" ht="15.75">
      <c r="A71" s="417">
        <v>344</v>
      </c>
      <c r="B71" s="419"/>
      <c r="C71" s="419"/>
      <c r="D71" s="433">
        <f t="shared" si="3"/>
        <v>0</v>
      </c>
      <c r="E71" s="427"/>
    </row>
    <row r="72" spans="1:5" ht="15.75">
      <c r="A72" s="417">
        <v>346</v>
      </c>
      <c r="B72" s="419">
        <f>124943.1+9346.06+53013.72</f>
        <v>187302.88</v>
      </c>
      <c r="C72" s="419">
        <f>124943.1+9346.06+53013.72</f>
        <v>187302.88</v>
      </c>
      <c r="D72" s="433">
        <f t="shared" si="3"/>
        <v>0</v>
      </c>
      <c r="E72" s="427"/>
    </row>
    <row r="73" spans="1:5" ht="15.75">
      <c r="A73" s="417">
        <v>349</v>
      </c>
      <c r="B73" s="419"/>
      <c r="C73" s="419"/>
      <c r="D73" s="433">
        <f t="shared" si="3"/>
        <v>0</v>
      </c>
      <c r="E73" s="427"/>
    </row>
    <row r="74" spans="1:5" ht="15.75" hidden="1">
      <c r="A74" s="422"/>
      <c r="B74" s="419"/>
      <c r="C74" s="419"/>
      <c r="D74" s="433">
        <f t="shared" si="3"/>
        <v>0</v>
      </c>
      <c r="E74" s="427"/>
    </row>
    <row r="75" spans="1:5" ht="15.75" hidden="1">
      <c r="A75" s="422"/>
      <c r="B75" s="419"/>
      <c r="C75" s="419"/>
      <c r="D75" s="433">
        <f t="shared" si="3"/>
        <v>0</v>
      </c>
      <c r="E75" s="427"/>
    </row>
    <row r="76" spans="1:5" ht="15.75" hidden="1">
      <c r="A76" s="422"/>
      <c r="B76" s="419"/>
      <c r="C76" s="419"/>
      <c r="D76" s="433">
        <f t="shared" si="3"/>
        <v>0</v>
      </c>
      <c r="E76" s="427"/>
    </row>
    <row r="77" spans="1:5" ht="15.75" hidden="1">
      <c r="A77" s="422" t="s">
        <v>772</v>
      </c>
      <c r="B77" s="419"/>
      <c r="C77" s="419"/>
      <c r="D77" s="433">
        <f t="shared" si="3"/>
        <v>0</v>
      </c>
      <c r="E77" s="436"/>
    </row>
    <row r="78" spans="1:5" ht="15.75">
      <c r="A78" s="422" t="s">
        <v>773</v>
      </c>
      <c r="B78" s="419">
        <f>2959713+1082174</f>
        <v>4041887</v>
      </c>
      <c r="C78" s="419">
        <f>2959713+1082174</f>
        <v>4041887</v>
      </c>
      <c r="D78" s="433">
        <f t="shared" si="3"/>
        <v>0</v>
      </c>
      <c r="E78" s="427"/>
    </row>
    <row r="79" spans="1:5" ht="15.75" hidden="1">
      <c r="A79" s="422" t="s">
        <v>779</v>
      </c>
      <c r="B79" s="419"/>
      <c r="C79" s="419"/>
      <c r="D79" s="433">
        <f t="shared" si="3"/>
        <v>0</v>
      </c>
      <c r="E79" s="427"/>
    </row>
    <row r="80" spans="1:5" ht="15.75">
      <c r="A80" s="418" t="s">
        <v>774</v>
      </c>
      <c r="B80" s="419">
        <v>3750</v>
      </c>
      <c r="C80" s="419">
        <v>3750</v>
      </c>
      <c r="D80" s="433">
        <f t="shared" si="3"/>
        <v>0</v>
      </c>
      <c r="E80" s="437"/>
    </row>
    <row r="81" spans="1:5" ht="15.75">
      <c r="A81" s="418" t="s">
        <v>780</v>
      </c>
      <c r="B81" s="419"/>
      <c r="C81" s="419"/>
      <c r="D81" s="433">
        <f t="shared" si="3"/>
        <v>0</v>
      </c>
      <c r="E81" s="427"/>
    </row>
    <row r="82" spans="1:5" ht="31.5">
      <c r="A82" s="422" t="s">
        <v>776</v>
      </c>
      <c r="B82" s="423">
        <f>B81+B78+B59+B58+B56+B53+B57+B80</f>
        <v>51163721.34</v>
      </c>
      <c r="C82" s="423">
        <f>C81+C78+C59+C58+C56+C53+C57+C80</f>
        <v>51163721.34</v>
      </c>
      <c r="D82" s="433">
        <f>C82-B82</f>
        <v>0</v>
      </c>
      <c r="E82" s="427"/>
    </row>
    <row r="83" spans="1:5" ht="16.5">
      <c r="A83" s="429"/>
      <c r="B83" s="430"/>
      <c r="C83" s="430"/>
      <c r="D83" s="430"/>
      <c r="E83" s="431"/>
    </row>
    <row r="84" spans="1:5" ht="18.75">
      <c r="A84" s="774" t="s">
        <v>781</v>
      </c>
      <c r="B84" s="774"/>
      <c r="C84" s="774"/>
      <c r="D84" s="774"/>
      <c r="E84" s="774"/>
    </row>
    <row r="85" spans="1:5" ht="16.5">
      <c r="A85" s="438"/>
      <c r="B85" s="438"/>
      <c r="C85" s="438"/>
      <c r="D85" s="438"/>
      <c r="E85" s="439"/>
    </row>
    <row r="86" spans="1:5" ht="31.5">
      <c r="A86" s="416" t="s">
        <v>164</v>
      </c>
      <c r="B86" s="417" t="s">
        <v>848</v>
      </c>
      <c r="C86" s="417" t="s">
        <v>849</v>
      </c>
      <c r="D86" s="417" t="s">
        <v>769</v>
      </c>
      <c r="E86" s="417" t="s">
        <v>770</v>
      </c>
    </row>
    <row r="87" spans="1:5" ht="31.5">
      <c r="A87" s="440">
        <v>150</v>
      </c>
      <c r="B87" s="441">
        <v>6010660.31</v>
      </c>
      <c r="C87" s="441">
        <f>C122</f>
        <v>6020660.309999999</v>
      </c>
      <c r="D87" s="441">
        <f>C87-B87</f>
        <v>9999.999999999069</v>
      </c>
      <c r="E87" s="442" t="s">
        <v>957</v>
      </c>
    </row>
    <row r="88" spans="1:5" ht="16.5">
      <c r="A88" s="443" t="s">
        <v>4</v>
      </c>
      <c r="B88" s="463"/>
      <c r="C88" s="444"/>
      <c r="D88" s="441">
        <f aca="true" t="shared" si="4" ref="D88:D134">C88-B88</f>
        <v>0</v>
      </c>
      <c r="E88" s="461"/>
    </row>
    <row r="89" spans="1:5" ht="16.5">
      <c r="A89" s="445">
        <v>901370000</v>
      </c>
      <c r="B89" s="446">
        <v>56000</v>
      </c>
      <c r="C89" s="446">
        <v>56000</v>
      </c>
      <c r="D89" s="441">
        <f t="shared" si="4"/>
        <v>0</v>
      </c>
      <c r="E89" s="442"/>
    </row>
    <row r="90" spans="1:5" ht="16.5">
      <c r="A90" s="445">
        <v>901030000</v>
      </c>
      <c r="B90" s="446">
        <v>9039.6</v>
      </c>
      <c r="C90" s="446">
        <v>9039.6</v>
      </c>
      <c r="D90" s="441">
        <f t="shared" si="4"/>
        <v>0</v>
      </c>
      <c r="E90" s="442"/>
    </row>
    <row r="91" spans="1:5" ht="16.5">
      <c r="A91" s="445">
        <v>901210000</v>
      </c>
      <c r="B91" s="446">
        <v>876777</v>
      </c>
      <c r="C91" s="446">
        <v>876777</v>
      </c>
      <c r="D91" s="441">
        <f t="shared" si="4"/>
        <v>0</v>
      </c>
      <c r="E91" s="442"/>
    </row>
    <row r="92" spans="1:5" ht="16.5">
      <c r="A92" s="445">
        <v>901140000</v>
      </c>
      <c r="B92" s="446">
        <v>155008</v>
      </c>
      <c r="C92" s="446">
        <v>155008</v>
      </c>
      <c r="D92" s="441">
        <f t="shared" si="4"/>
        <v>0</v>
      </c>
      <c r="E92" s="442"/>
    </row>
    <row r="93" spans="1:5" ht="16.5">
      <c r="A93" s="447">
        <v>901150000</v>
      </c>
      <c r="B93" s="446">
        <v>396173</v>
      </c>
      <c r="C93" s="446">
        <v>396173</v>
      </c>
      <c r="D93" s="441">
        <f t="shared" si="4"/>
        <v>0</v>
      </c>
      <c r="E93" s="442"/>
    </row>
    <row r="94" spans="1:5" ht="16.5">
      <c r="A94" s="447">
        <v>901160000</v>
      </c>
      <c r="B94" s="446">
        <v>949644</v>
      </c>
      <c r="C94" s="446">
        <v>949644</v>
      </c>
      <c r="D94" s="441">
        <f t="shared" si="4"/>
        <v>0</v>
      </c>
      <c r="E94" s="442"/>
    </row>
    <row r="95" spans="1:5" ht="16.5">
      <c r="A95" s="447">
        <v>901890000</v>
      </c>
      <c r="B95" s="446">
        <v>1440</v>
      </c>
      <c r="C95" s="446">
        <v>1440</v>
      </c>
      <c r="D95" s="441">
        <f t="shared" si="4"/>
        <v>0</v>
      </c>
      <c r="E95" s="442"/>
    </row>
    <row r="96" spans="1:5" ht="16.5">
      <c r="A96" s="447">
        <v>901870000</v>
      </c>
      <c r="B96" s="446">
        <v>12915</v>
      </c>
      <c r="C96" s="446">
        <v>12915</v>
      </c>
      <c r="D96" s="441">
        <f t="shared" si="4"/>
        <v>0</v>
      </c>
      <c r="E96" s="442"/>
    </row>
    <row r="97" spans="1:5" ht="16.5">
      <c r="A97" s="447">
        <v>901270000</v>
      </c>
      <c r="B97" s="446">
        <v>18257.44</v>
      </c>
      <c r="C97" s="446">
        <v>18257.44</v>
      </c>
      <c r="D97" s="441">
        <f t="shared" si="4"/>
        <v>0</v>
      </c>
      <c r="E97" s="442"/>
    </row>
    <row r="98" spans="1:5" ht="16.5">
      <c r="A98" s="447">
        <v>901830000</v>
      </c>
      <c r="B98" s="446">
        <v>532435.56</v>
      </c>
      <c r="C98" s="446">
        <v>532435.56</v>
      </c>
      <c r="D98" s="441">
        <f t="shared" si="4"/>
        <v>0</v>
      </c>
      <c r="E98" s="442"/>
    </row>
    <row r="99" spans="1:5" ht="31.5">
      <c r="A99" s="447">
        <v>901010000</v>
      </c>
      <c r="B99" s="448"/>
      <c r="C99" s="448">
        <v>10000</v>
      </c>
      <c r="D99" s="441">
        <f t="shared" si="4"/>
        <v>10000</v>
      </c>
      <c r="E99" s="442" t="s">
        <v>957</v>
      </c>
    </row>
    <row r="100" spans="1:5" ht="38.25" customHeight="1" hidden="1">
      <c r="A100" s="449">
        <v>90105</v>
      </c>
      <c r="B100" s="448"/>
      <c r="C100" s="448"/>
      <c r="D100" s="441">
        <f t="shared" si="4"/>
        <v>0</v>
      </c>
      <c r="E100" s="442"/>
    </row>
    <row r="101" spans="1:5" ht="33" customHeight="1" hidden="1">
      <c r="A101" s="447">
        <v>90187</v>
      </c>
      <c r="B101" s="448"/>
      <c r="C101" s="448"/>
      <c r="D101" s="441">
        <f t="shared" si="4"/>
        <v>0</v>
      </c>
      <c r="E101" s="442"/>
    </row>
    <row r="102" spans="1:5" ht="45.75" customHeight="1" hidden="1">
      <c r="A102" s="449">
        <v>90193</v>
      </c>
      <c r="B102" s="448"/>
      <c r="C102" s="448"/>
      <c r="D102" s="441">
        <f t="shared" si="4"/>
        <v>0</v>
      </c>
      <c r="E102" s="442"/>
    </row>
    <row r="103" spans="1:5" ht="39" customHeight="1" hidden="1">
      <c r="A103" s="449">
        <v>90149</v>
      </c>
      <c r="B103" s="448"/>
      <c r="C103" s="448"/>
      <c r="D103" s="441">
        <f t="shared" si="4"/>
        <v>0</v>
      </c>
      <c r="E103" s="442"/>
    </row>
    <row r="104" spans="1:5" ht="33.75" customHeight="1" hidden="1">
      <c r="A104" s="449">
        <v>90103</v>
      </c>
      <c r="B104" s="448"/>
      <c r="C104" s="448"/>
      <c r="D104" s="441">
        <f t="shared" si="4"/>
        <v>0</v>
      </c>
      <c r="E104" s="442"/>
    </row>
    <row r="105" spans="1:5" ht="37.5" customHeight="1" hidden="1">
      <c r="A105" s="447">
        <v>901800000</v>
      </c>
      <c r="B105" s="448"/>
      <c r="C105" s="448"/>
      <c r="D105" s="441">
        <f t="shared" si="4"/>
        <v>0</v>
      </c>
      <c r="E105" s="442"/>
    </row>
    <row r="106" spans="1:5" ht="36.75" customHeight="1" hidden="1">
      <c r="A106" s="447">
        <v>901890000</v>
      </c>
      <c r="B106" s="448"/>
      <c r="C106" s="448"/>
      <c r="D106" s="441">
        <f t="shared" si="4"/>
        <v>0</v>
      </c>
      <c r="E106" s="442"/>
    </row>
    <row r="107" spans="1:5" ht="16.5">
      <c r="A107" s="447">
        <v>901170000</v>
      </c>
      <c r="B107" s="448">
        <v>90000</v>
      </c>
      <c r="C107" s="448">
        <v>90000</v>
      </c>
      <c r="D107" s="441">
        <f t="shared" si="4"/>
        <v>0</v>
      </c>
      <c r="E107" s="442"/>
    </row>
    <row r="108" spans="1:5" ht="16.5">
      <c r="A108" s="447">
        <v>901480000</v>
      </c>
      <c r="B108" s="446">
        <v>1781767</v>
      </c>
      <c r="C108" s="446">
        <v>1781767</v>
      </c>
      <c r="D108" s="441">
        <f t="shared" si="4"/>
        <v>0</v>
      </c>
      <c r="E108" s="442"/>
    </row>
    <row r="109" spans="1:5" ht="16.5">
      <c r="A109" s="447">
        <v>901480000</v>
      </c>
      <c r="B109" s="510">
        <v>364383</v>
      </c>
      <c r="C109" s="510">
        <v>364383</v>
      </c>
      <c r="D109" s="441">
        <f t="shared" si="4"/>
        <v>0</v>
      </c>
      <c r="E109" s="442"/>
    </row>
    <row r="110" spans="1:5" ht="16.5">
      <c r="A110" s="447">
        <v>901160000</v>
      </c>
      <c r="B110" s="510">
        <v>124075</v>
      </c>
      <c r="C110" s="510">
        <v>124075</v>
      </c>
      <c r="D110" s="441">
        <f t="shared" si="4"/>
        <v>0</v>
      </c>
      <c r="E110" s="442"/>
    </row>
    <row r="111" spans="1:5" ht="16.5">
      <c r="A111" s="447">
        <v>901830000</v>
      </c>
      <c r="B111" s="510">
        <v>64712.38</v>
      </c>
      <c r="C111" s="510">
        <v>64712.38</v>
      </c>
      <c r="D111" s="441">
        <f t="shared" si="4"/>
        <v>0</v>
      </c>
      <c r="E111" s="442"/>
    </row>
    <row r="112" spans="1:5" ht="16.5">
      <c r="A112" s="447">
        <v>901060000</v>
      </c>
      <c r="B112" s="510">
        <f>105204.41+39777.72</f>
        <v>144982.13</v>
      </c>
      <c r="C112" s="510">
        <f>105204.41+39777.72</f>
        <v>144982.13</v>
      </c>
      <c r="D112" s="441">
        <f t="shared" si="4"/>
        <v>0</v>
      </c>
      <c r="E112" s="442"/>
    </row>
    <row r="113" spans="1:5" ht="16.5">
      <c r="A113" s="447">
        <v>901140000</v>
      </c>
      <c r="B113" s="510">
        <v>56596</v>
      </c>
      <c r="C113" s="510">
        <v>56596</v>
      </c>
      <c r="D113" s="441">
        <f t="shared" si="4"/>
        <v>0</v>
      </c>
      <c r="E113" s="442"/>
    </row>
    <row r="114" spans="1:5" ht="16.5">
      <c r="A114" s="447">
        <v>901140000</v>
      </c>
      <c r="B114" s="510">
        <v>13862</v>
      </c>
      <c r="C114" s="510">
        <v>13862</v>
      </c>
      <c r="D114" s="441">
        <f t="shared" si="4"/>
        <v>0</v>
      </c>
      <c r="E114" s="442"/>
    </row>
    <row r="115" spans="1:5" ht="16.5">
      <c r="A115" s="447">
        <v>901150000</v>
      </c>
      <c r="B115" s="510">
        <v>67915</v>
      </c>
      <c r="C115" s="510">
        <v>67915</v>
      </c>
      <c r="D115" s="441">
        <f t="shared" si="4"/>
        <v>0</v>
      </c>
      <c r="E115" s="442"/>
    </row>
    <row r="116" spans="1:5" ht="16.5">
      <c r="A116" s="447">
        <v>901210000</v>
      </c>
      <c r="B116" s="510">
        <v>105533</v>
      </c>
      <c r="C116" s="510">
        <v>105533</v>
      </c>
      <c r="D116" s="441">
        <f t="shared" si="4"/>
        <v>0</v>
      </c>
      <c r="E116" s="442"/>
    </row>
    <row r="117" spans="1:5" ht="16.5">
      <c r="A117" s="447">
        <v>901480000</v>
      </c>
      <c r="B117" s="510">
        <v>100000</v>
      </c>
      <c r="C117" s="510">
        <v>100000</v>
      </c>
      <c r="D117" s="441">
        <f t="shared" si="4"/>
        <v>0</v>
      </c>
      <c r="E117" s="442"/>
    </row>
    <row r="118" spans="1:5" ht="16.5">
      <c r="A118" s="447">
        <v>901370000</v>
      </c>
      <c r="B118" s="510">
        <v>56000</v>
      </c>
      <c r="C118" s="510">
        <v>56000</v>
      </c>
      <c r="D118" s="441">
        <f t="shared" si="4"/>
        <v>0</v>
      </c>
      <c r="E118" s="442"/>
    </row>
    <row r="119" spans="1:5" ht="16.5">
      <c r="A119" s="447">
        <v>901030000</v>
      </c>
      <c r="B119" s="510">
        <v>9039.6</v>
      </c>
      <c r="C119" s="510">
        <v>9039.6</v>
      </c>
      <c r="D119" s="441">
        <f t="shared" si="4"/>
        <v>0</v>
      </c>
      <c r="E119" s="442"/>
    </row>
    <row r="120" spans="1:5" ht="16.5">
      <c r="A120" s="447">
        <v>901490000</v>
      </c>
      <c r="B120" s="510">
        <v>12052.8</v>
      </c>
      <c r="C120" s="510">
        <v>12052.8</v>
      </c>
      <c r="D120" s="441">
        <f t="shared" si="4"/>
        <v>0</v>
      </c>
      <c r="E120" s="442"/>
    </row>
    <row r="121" spans="1:5" ht="16.5">
      <c r="A121" s="447">
        <v>901490000</v>
      </c>
      <c r="B121" s="462">
        <v>12052.8</v>
      </c>
      <c r="C121" s="462">
        <v>12052.8</v>
      </c>
      <c r="D121" s="441">
        <f t="shared" si="4"/>
        <v>0</v>
      </c>
      <c r="E121" s="442"/>
    </row>
    <row r="122" spans="1:5" ht="33">
      <c r="A122" s="450" t="s">
        <v>771</v>
      </c>
      <c r="B122" s="451">
        <f>SUM(B89:B121)</f>
        <v>6010660.309999999</v>
      </c>
      <c r="C122" s="451">
        <f>SUM(C89:C121)</f>
        <v>6020660.309999999</v>
      </c>
      <c r="D122" s="441">
        <f t="shared" si="4"/>
        <v>10000</v>
      </c>
      <c r="E122" s="442" t="s">
        <v>957</v>
      </c>
    </row>
    <row r="123" spans="1:5" ht="35.25" customHeight="1">
      <c r="A123" s="450" t="s">
        <v>787</v>
      </c>
      <c r="B123" s="441">
        <f>1598344.58+753495.68+439757.32+346052.28+94268.13+88414.03</f>
        <v>3320332.02</v>
      </c>
      <c r="C123" s="441">
        <f>1598344.58+753495.68+439757.32+346052.28+94268.13+88414.03</f>
        <v>3320332.02</v>
      </c>
      <c r="D123" s="441">
        <f t="shared" si="4"/>
        <v>0</v>
      </c>
      <c r="E123" s="442"/>
    </row>
    <row r="124" spans="1:5" ht="35.25" customHeight="1">
      <c r="A124" s="450" t="s">
        <v>788</v>
      </c>
      <c r="B124" s="441">
        <f>10000+4775.84+8000</f>
        <v>22775.84</v>
      </c>
      <c r="C124" s="441">
        <f>10000+4775.84+8000</f>
        <v>22775.84</v>
      </c>
      <c r="D124" s="441">
        <f t="shared" si="4"/>
        <v>0</v>
      </c>
      <c r="E124" s="442"/>
    </row>
    <row r="125" spans="1:5" ht="36" customHeight="1">
      <c r="A125" s="450">
        <v>119</v>
      </c>
      <c r="B125" s="441">
        <f>482700.07+227555.7+132802.64+106017.12+29072.97+27003.03</f>
        <v>1005151.53</v>
      </c>
      <c r="C125" s="441">
        <f>482700.07+227555.7+132802.64+106017.12+29072.97+27003.03</f>
        <v>1005151.53</v>
      </c>
      <c r="D125" s="441">
        <f t="shared" si="4"/>
        <v>0</v>
      </c>
      <c r="E125" s="442"/>
    </row>
    <row r="126" spans="1:5" ht="36" customHeight="1">
      <c r="A126" s="450">
        <v>112</v>
      </c>
      <c r="B126" s="441">
        <v>332184.8</v>
      </c>
      <c r="C126" s="441">
        <f>C127+C128</f>
        <v>332184.8</v>
      </c>
      <c r="D126" s="441">
        <f t="shared" si="4"/>
        <v>0</v>
      </c>
      <c r="E126" s="442"/>
    </row>
    <row r="127" spans="1:5" ht="36" customHeight="1">
      <c r="A127" s="450" t="s">
        <v>778</v>
      </c>
      <c r="B127" s="441">
        <v>290000</v>
      </c>
      <c r="C127" s="441">
        <v>290000</v>
      </c>
      <c r="D127" s="441">
        <f t="shared" si="4"/>
        <v>0</v>
      </c>
      <c r="E127" s="442"/>
    </row>
    <row r="128" spans="1:5" ht="36" customHeight="1">
      <c r="A128" s="450" t="s">
        <v>791</v>
      </c>
      <c r="B128" s="441">
        <f>9039.6+12052.8+9039.6+12052.8</f>
        <v>42184.8</v>
      </c>
      <c r="C128" s="441">
        <f>9039.6+12052.8+9039.6+12052.8</f>
        <v>42184.8</v>
      </c>
      <c r="D128" s="441">
        <f t="shared" si="4"/>
        <v>0</v>
      </c>
      <c r="E128" s="442"/>
    </row>
    <row r="129" spans="1:5" ht="31.5">
      <c r="A129" s="450">
        <v>244</v>
      </c>
      <c r="B129" s="441">
        <f>249816.85+39777.72</f>
        <v>289594.57</v>
      </c>
      <c r="C129" s="441">
        <f>249816.85+39777.72+10000</f>
        <v>299594.57</v>
      </c>
      <c r="D129" s="441">
        <f t="shared" si="4"/>
        <v>10000</v>
      </c>
      <c r="E129" s="442" t="s">
        <v>957</v>
      </c>
    </row>
    <row r="130" spans="1:5" ht="47.25" customHeight="1">
      <c r="A130" s="450">
        <v>321</v>
      </c>
      <c r="B130" s="441">
        <f>30497+13862</f>
        <v>44359</v>
      </c>
      <c r="C130" s="441">
        <f>30497+13862</f>
        <v>44359</v>
      </c>
      <c r="D130" s="441">
        <f t="shared" si="4"/>
        <v>0</v>
      </c>
      <c r="E130" s="442"/>
    </row>
    <row r="131" spans="1:5" ht="38.25" customHeight="1">
      <c r="A131" s="450">
        <v>323</v>
      </c>
      <c r="B131" s="441">
        <f>124511+449289.98+876777+57544.92+67915+105533</f>
        <v>1681570.9</v>
      </c>
      <c r="C131" s="441">
        <f>124511+449289.98+876777+57544.92+67915+105533</f>
        <v>1681570.9</v>
      </c>
      <c r="D131" s="441">
        <f t="shared" si="4"/>
        <v>0</v>
      </c>
      <c r="E131" s="442"/>
    </row>
    <row r="132" spans="1:5" ht="16.5">
      <c r="A132" s="440"/>
      <c r="B132" s="441"/>
      <c r="C132" s="441"/>
      <c r="D132" s="441">
        <f t="shared" si="4"/>
        <v>0</v>
      </c>
      <c r="E132" s="452"/>
    </row>
    <row r="133" spans="1:5" ht="16.5">
      <c r="A133" s="440"/>
      <c r="B133" s="441"/>
      <c r="C133" s="441"/>
      <c r="D133" s="441">
        <f t="shared" si="4"/>
        <v>0</v>
      </c>
      <c r="E133" s="453"/>
    </row>
    <row r="134" spans="1:5" ht="33">
      <c r="A134" s="450" t="s">
        <v>776</v>
      </c>
      <c r="B134" s="451">
        <f>B131+B130+B129+B126+B125+B123+B124</f>
        <v>6695968.66</v>
      </c>
      <c r="C134" s="451">
        <f>C131+C130+C129+C126+C125+C123+C124</f>
        <v>6705968.66</v>
      </c>
      <c r="D134" s="441">
        <f t="shared" si="4"/>
        <v>10000</v>
      </c>
      <c r="E134" s="442" t="s">
        <v>957</v>
      </c>
    </row>
    <row r="135" spans="1:5" ht="16.5">
      <c r="A135" s="454"/>
      <c r="B135" s="430"/>
      <c r="C135" s="455"/>
      <c r="D135" s="455"/>
      <c r="E135" s="456"/>
    </row>
    <row r="136" spans="1:5" ht="16.5">
      <c r="A136" s="454"/>
      <c r="B136" s="430"/>
      <c r="C136" s="455"/>
      <c r="D136" s="455"/>
      <c r="E136" s="456"/>
    </row>
    <row r="137" spans="1:5" ht="18.75">
      <c r="A137" s="438" t="s">
        <v>782</v>
      </c>
      <c r="B137" s="438"/>
      <c r="C137" s="457" t="s">
        <v>783</v>
      </c>
      <c r="D137" s="415"/>
      <c r="E137" s="11"/>
    </row>
    <row r="138" spans="1:5" ht="16.5">
      <c r="A138" s="438"/>
      <c r="B138" s="438"/>
      <c r="C138" s="458"/>
      <c r="D138" s="459"/>
      <c r="E138" s="11"/>
    </row>
    <row r="139" spans="1:5" ht="16.5">
      <c r="A139" s="438"/>
      <c r="B139" s="438"/>
      <c r="C139" s="457"/>
      <c r="D139" s="438"/>
      <c r="E139" s="11"/>
    </row>
    <row r="140" spans="1:5" ht="16.5">
      <c r="A140" s="438" t="s">
        <v>785</v>
      </c>
      <c r="B140" s="438"/>
      <c r="C140" s="438"/>
      <c r="D140" s="460"/>
      <c r="E140" s="11"/>
    </row>
    <row r="141" spans="1:5" ht="16.5">
      <c r="A141" s="438" t="s">
        <v>786</v>
      </c>
      <c r="B141" s="438"/>
      <c r="C141" s="438"/>
      <c r="D141" s="438"/>
      <c r="E141" s="11"/>
    </row>
  </sheetData>
  <sheetProtection/>
  <mergeCells count="6">
    <mergeCell ref="A1:E1"/>
    <mergeCell ref="A2:E2"/>
    <mergeCell ref="A4:E4"/>
    <mergeCell ref="A7:E7"/>
    <mergeCell ref="A48:E48"/>
    <mergeCell ref="A84:E8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rowBreaks count="2" manualBreakCount="2">
    <brk id="47" max="5" man="1"/>
    <brk id="83" max="5" man="1"/>
  </rowBreaks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view="pageBreakPreview" zoomScale="55" zoomScaleNormal="55" zoomScaleSheetLayoutView="55" zoomScalePageLayoutView="0" workbookViewId="0" topLeftCell="A1">
      <selection activeCell="D12" sqref="D12"/>
    </sheetView>
  </sheetViews>
  <sheetFormatPr defaultColWidth="9.140625" defaultRowHeight="15"/>
  <cols>
    <col min="1" max="1" width="48.57421875" style="0" customWidth="1"/>
    <col min="2" max="2" width="23.140625" style="0" customWidth="1"/>
    <col min="3" max="3" width="19.00390625" style="0" customWidth="1"/>
    <col min="4" max="4" width="25.140625" style="0" customWidth="1"/>
    <col min="5" max="5" width="22.28125" style="0" customWidth="1"/>
  </cols>
  <sheetData>
    <row r="1" spans="1:5" ht="15.75">
      <c r="A1" s="775" t="s">
        <v>800</v>
      </c>
      <c r="B1" s="775"/>
      <c r="C1" s="775"/>
      <c r="D1" s="775"/>
      <c r="E1" s="775"/>
    </row>
    <row r="3" ht="15">
      <c r="A3" s="473"/>
    </row>
    <row r="4" spans="1:5" ht="15.75">
      <c r="A4" s="776" t="s">
        <v>801</v>
      </c>
      <c r="B4" s="776"/>
      <c r="C4" s="776"/>
      <c r="D4" s="776"/>
      <c r="E4" s="776"/>
    </row>
    <row r="5" spans="1:5" ht="15.75">
      <c r="A5" s="776" t="s">
        <v>810</v>
      </c>
      <c r="B5" s="776"/>
      <c r="C5" s="776"/>
      <c r="D5" s="776"/>
      <c r="E5" s="776"/>
    </row>
    <row r="6" ht="15.75">
      <c r="A6" s="474" t="s">
        <v>802</v>
      </c>
    </row>
    <row r="7" spans="1:5" ht="99" customHeight="1">
      <c r="A7" s="777" t="s">
        <v>803</v>
      </c>
      <c r="B7" s="777" t="s">
        <v>804</v>
      </c>
      <c r="C7" s="777" t="s">
        <v>805</v>
      </c>
      <c r="D7" s="777" t="s">
        <v>806</v>
      </c>
      <c r="E7" s="777" t="s">
        <v>807</v>
      </c>
    </row>
    <row r="8" spans="1:5" ht="15">
      <c r="A8" s="777"/>
      <c r="B8" s="777"/>
      <c r="C8" s="777"/>
      <c r="D8" s="777"/>
      <c r="E8" s="777"/>
    </row>
    <row r="9" spans="1:5" ht="15">
      <c r="A9" s="777"/>
      <c r="B9" s="777"/>
      <c r="C9" s="777"/>
      <c r="D9" s="777"/>
      <c r="E9" s="777"/>
    </row>
    <row r="10" spans="1:5" ht="66" customHeight="1">
      <c r="A10" s="475" t="s">
        <v>953</v>
      </c>
      <c r="B10" s="476" t="s">
        <v>808</v>
      </c>
      <c r="C10" s="477"/>
      <c r="D10" s="478"/>
      <c r="E10" s="477"/>
    </row>
    <row r="11" spans="1:5" ht="78.75" customHeight="1">
      <c r="A11" s="434" t="s">
        <v>813</v>
      </c>
      <c r="B11" s="476" t="s">
        <v>954</v>
      </c>
      <c r="C11" s="476"/>
      <c r="D11" s="434"/>
      <c r="E11" s="476"/>
    </row>
    <row r="12" spans="1:5" ht="67.5" customHeight="1">
      <c r="A12" s="475" t="s">
        <v>814</v>
      </c>
      <c r="B12" s="476"/>
      <c r="C12" s="476"/>
      <c r="D12" s="434" t="s">
        <v>960</v>
      </c>
      <c r="E12" s="476"/>
    </row>
    <row r="13" spans="1:5" ht="65.25" customHeight="1">
      <c r="A13" s="475" t="s">
        <v>955</v>
      </c>
      <c r="B13" s="479"/>
      <c r="C13" s="475"/>
      <c r="D13" s="434" t="s">
        <v>956</v>
      </c>
      <c r="E13" s="475"/>
    </row>
    <row r="14" spans="1:5" ht="55.5" customHeight="1">
      <c r="A14" s="475" t="s">
        <v>815</v>
      </c>
      <c r="B14" s="475"/>
      <c r="C14" s="475"/>
      <c r="D14" s="434" t="s">
        <v>809</v>
      </c>
      <c r="E14" s="475"/>
    </row>
    <row r="15" spans="1:5" ht="57.75" customHeight="1">
      <c r="A15" s="475" t="s">
        <v>816</v>
      </c>
      <c r="B15" s="475"/>
      <c r="C15" s="475"/>
      <c r="D15" s="434" t="s">
        <v>809</v>
      </c>
      <c r="E15" s="475"/>
    </row>
    <row r="16" ht="15">
      <c r="A16" s="480"/>
    </row>
    <row r="17" ht="15.75">
      <c r="A17" s="481"/>
    </row>
    <row r="18" ht="15.75">
      <c r="A18" s="481"/>
    </row>
    <row r="19" ht="15.75">
      <c r="A19" s="481" t="s">
        <v>812</v>
      </c>
    </row>
    <row r="20" ht="15.75">
      <c r="A20" s="481" t="s">
        <v>811</v>
      </c>
    </row>
  </sheetData>
  <sheetProtection/>
  <mergeCells count="8">
    <mergeCell ref="A1:E1"/>
    <mergeCell ref="A4:E4"/>
    <mergeCell ref="A5:E5"/>
    <mergeCell ref="A7:A9"/>
    <mergeCell ref="B7:B9"/>
    <mergeCell ref="C7:C9"/>
    <mergeCell ref="D7:D9"/>
    <mergeCell ref="E7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C158"/>
  <sheetViews>
    <sheetView view="pageBreakPreview" zoomScaleSheetLayoutView="100" zoomScalePageLayoutView="0" workbookViewId="0" topLeftCell="A1">
      <selection activeCell="A1" sqref="A1:C16384"/>
    </sheetView>
  </sheetViews>
  <sheetFormatPr defaultColWidth="9.140625" defaultRowHeight="15"/>
  <cols>
    <col min="2" max="2" width="95.7109375" style="10" customWidth="1"/>
    <col min="3" max="3" width="31.421875" style="80" customWidth="1"/>
  </cols>
  <sheetData>
    <row r="1" spans="2:3" ht="26.25" customHeight="1">
      <c r="B1" s="602" t="s">
        <v>393</v>
      </c>
      <c r="C1" s="602"/>
    </row>
    <row r="2" spans="2:3" ht="10.5" customHeight="1">
      <c r="B2" s="49" t="s">
        <v>381</v>
      </c>
      <c r="C2" s="49"/>
    </row>
    <row r="3" spans="2:3" ht="21" customHeight="1">
      <c r="B3" s="603" t="s">
        <v>0</v>
      </c>
      <c r="C3" s="603"/>
    </row>
    <row r="4" spans="1:3" s="18" customFormat="1" ht="19.5" customHeight="1">
      <c r="A4" s="50" t="s">
        <v>137</v>
      </c>
      <c r="B4" s="71" t="s">
        <v>1</v>
      </c>
      <c r="C4" s="71" t="s">
        <v>2</v>
      </c>
    </row>
    <row r="5" spans="1:3" s="18" customFormat="1" ht="15" customHeight="1">
      <c r="A5" s="50">
        <v>1</v>
      </c>
      <c r="B5" s="37">
        <v>2</v>
      </c>
      <c r="C5" s="19">
        <v>3</v>
      </c>
    </row>
    <row r="6" spans="1:3" s="18" customFormat="1" ht="17.25" customHeight="1">
      <c r="A6" s="53" t="s">
        <v>434</v>
      </c>
      <c r="B6" s="72" t="s">
        <v>105</v>
      </c>
      <c r="C6" s="73">
        <f>C7+C10+C13+C16+C18+C20</f>
        <v>257288.19999999998</v>
      </c>
    </row>
    <row r="7" spans="1:3" s="18" customFormat="1" ht="31.5" customHeight="1">
      <c r="A7" s="53" t="s">
        <v>435</v>
      </c>
      <c r="B7" s="72" t="s">
        <v>136</v>
      </c>
      <c r="C7" s="74">
        <v>18373.9</v>
      </c>
    </row>
    <row r="8" spans="1:3" s="18" customFormat="1" ht="32.25" customHeight="1">
      <c r="A8" s="52"/>
      <c r="B8" s="72" t="s">
        <v>382</v>
      </c>
      <c r="C8" s="75">
        <v>12011.8</v>
      </c>
    </row>
    <row r="9" spans="1:3" s="18" customFormat="1" ht="18" customHeight="1">
      <c r="A9" s="52"/>
      <c r="B9" s="76" t="s">
        <v>383</v>
      </c>
      <c r="C9" s="74">
        <v>6846.64</v>
      </c>
    </row>
    <row r="10" spans="1:3" s="18" customFormat="1" ht="15" customHeight="1">
      <c r="A10" s="53" t="s">
        <v>436</v>
      </c>
      <c r="B10" s="72" t="s">
        <v>106</v>
      </c>
      <c r="C10" s="74">
        <f>C11+C12</f>
        <v>8394.5</v>
      </c>
    </row>
    <row r="11" spans="1:3" s="18" customFormat="1" ht="34.5" customHeight="1">
      <c r="A11" s="52"/>
      <c r="B11" s="72" t="s">
        <v>384</v>
      </c>
      <c r="C11" s="74">
        <v>6517.8</v>
      </c>
    </row>
    <row r="12" spans="1:3" s="18" customFormat="1" ht="22.5" customHeight="1">
      <c r="A12" s="52"/>
      <c r="B12" s="76" t="s">
        <v>383</v>
      </c>
      <c r="C12" s="74">
        <v>1876.7</v>
      </c>
    </row>
    <row r="13" spans="1:3" s="18" customFormat="1" ht="15.75">
      <c r="A13" s="53" t="s">
        <v>437</v>
      </c>
      <c r="B13" s="72" t="s">
        <v>385</v>
      </c>
      <c r="C13" s="74">
        <f>C14+C15</f>
        <v>12571.6</v>
      </c>
    </row>
    <row r="14" spans="1:3" s="18" customFormat="1" ht="38.25" customHeight="1">
      <c r="A14" s="52"/>
      <c r="B14" s="72" t="s">
        <v>386</v>
      </c>
      <c r="C14" s="74">
        <v>12113.5</v>
      </c>
    </row>
    <row r="15" spans="1:3" s="18" customFormat="1" ht="15.75">
      <c r="A15" s="52"/>
      <c r="B15" s="76" t="s">
        <v>383</v>
      </c>
      <c r="C15" s="74">
        <v>458.1</v>
      </c>
    </row>
    <row r="16" spans="1:3" s="18" customFormat="1" ht="27" customHeight="1">
      <c r="A16" s="53" t="s">
        <v>438</v>
      </c>
      <c r="B16" s="72" t="s">
        <v>138</v>
      </c>
      <c r="C16" s="74">
        <f>C17</f>
        <v>1119.4</v>
      </c>
    </row>
    <row r="17" spans="1:3" s="18" customFormat="1" ht="31.5">
      <c r="A17" s="52"/>
      <c r="B17" s="72" t="s">
        <v>387</v>
      </c>
      <c r="C17" s="74">
        <v>1119.4</v>
      </c>
    </row>
    <row r="18" spans="1:3" s="18" customFormat="1" ht="15.75">
      <c r="A18" s="53" t="s">
        <v>439</v>
      </c>
      <c r="B18" s="72" t="s">
        <v>139</v>
      </c>
      <c r="C18" s="74">
        <f>C19</f>
        <v>216828.8</v>
      </c>
    </row>
    <row r="19" spans="1:3" s="18" customFormat="1" ht="31.5">
      <c r="A19" s="52"/>
      <c r="B19" s="72" t="s">
        <v>387</v>
      </c>
      <c r="C19" s="74">
        <v>216828.8</v>
      </c>
    </row>
    <row r="20" spans="1:3" s="18" customFormat="1" ht="15.75">
      <c r="A20" s="53" t="s">
        <v>440</v>
      </c>
      <c r="B20" s="72" t="s">
        <v>388</v>
      </c>
      <c r="C20" s="74">
        <v>0</v>
      </c>
    </row>
    <row r="21" spans="1:3" s="18" customFormat="1" ht="17.25" customHeight="1">
      <c r="A21" s="53" t="s">
        <v>441</v>
      </c>
      <c r="B21" s="72" t="s">
        <v>107</v>
      </c>
      <c r="C21" s="73">
        <f>C22+C26+C27</f>
        <v>45679.200000000004</v>
      </c>
    </row>
    <row r="22" spans="1:3" s="18" customFormat="1" ht="15" customHeight="1">
      <c r="A22" s="53" t="s">
        <v>442</v>
      </c>
      <c r="B22" s="72" t="s">
        <v>140</v>
      </c>
      <c r="C22" s="74">
        <f>C23+C24</f>
        <v>12165.2</v>
      </c>
    </row>
    <row r="23" spans="1:3" s="18" customFormat="1" ht="15" customHeight="1">
      <c r="A23" s="53"/>
      <c r="B23" s="72" t="s">
        <v>141</v>
      </c>
      <c r="C23" s="74">
        <v>8165.2</v>
      </c>
    </row>
    <row r="24" spans="1:3" s="18" customFormat="1" ht="15" customHeight="1">
      <c r="A24" s="52"/>
      <c r="B24" s="72" t="s">
        <v>108</v>
      </c>
      <c r="C24" s="74">
        <v>4000</v>
      </c>
    </row>
    <row r="25" spans="1:3" s="18" customFormat="1" ht="15" customHeight="1">
      <c r="A25" s="52"/>
      <c r="B25" s="72" t="s">
        <v>109</v>
      </c>
      <c r="C25" s="74">
        <v>0</v>
      </c>
    </row>
    <row r="26" spans="1:3" s="18" customFormat="1" ht="15" customHeight="1">
      <c r="A26" s="53" t="s">
        <v>443</v>
      </c>
      <c r="B26" s="72" t="s">
        <v>110</v>
      </c>
      <c r="C26" s="74">
        <v>33470.4</v>
      </c>
    </row>
    <row r="27" spans="1:3" s="18" customFormat="1" ht="15" customHeight="1">
      <c r="A27" s="53" t="s">
        <v>444</v>
      </c>
      <c r="B27" s="72" t="s">
        <v>142</v>
      </c>
      <c r="C27" s="74">
        <f>C29+C41</f>
        <v>43.6</v>
      </c>
    </row>
    <row r="28" spans="1:3" s="18" customFormat="1" ht="15" customHeight="1">
      <c r="A28" s="52"/>
      <c r="B28" s="72" t="s">
        <v>389</v>
      </c>
      <c r="C28" s="74"/>
    </row>
    <row r="29" spans="1:3" s="18" customFormat="1" ht="31.5">
      <c r="A29" s="52"/>
      <c r="B29" s="72" t="s">
        <v>445</v>
      </c>
      <c r="C29" s="74">
        <v>43.6</v>
      </c>
    </row>
    <row r="30" spans="1:3" s="18" customFormat="1" ht="15" customHeight="1">
      <c r="A30" s="52"/>
      <c r="B30" s="72" t="s">
        <v>143</v>
      </c>
      <c r="C30" s="74">
        <v>0</v>
      </c>
    </row>
    <row r="31" spans="1:3" s="18" customFormat="1" ht="15" customHeight="1">
      <c r="A31" s="52"/>
      <c r="B31" s="72" t="s">
        <v>6</v>
      </c>
      <c r="C31" s="74">
        <v>0</v>
      </c>
    </row>
    <row r="32" spans="1:3" s="18" customFormat="1" ht="15" customHeight="1">
      <c r="A32" s="52"/>
      <c r="B32" s="72" t="s">
        <v>7</v>
      </c>
      <c r="C32" s="74">
        <v>2.1</v>
      </c>
    </row>
    <row r="33" spans="1:3" s="18" customFormat="1" ht="15" customHeight="1">
      <c r="A33" s="52"/>
      <c r="B33" s="72" t="s">
        <v>111</v>
      </c>
      <c r="C33" s="74">
        <v>0</v>
      </c>
    </row>
    <row r="34" spans="1:3" s="18" customFormat="1" ht="15" customHeight="1">
      <c r="A34" s="52"/>
      <c r="B34" s="72" t="s">
        <v>112</v>
      </c>
      <c r="C34" s="74">
        <v>32.7</v>
      </c>
    </row>
    <row r="35" spans="1:3" s="18" customFormat="1" ht="15" customHeight="1">
      <c r="A35" s="52"/>
      <c r="B35" s="72" t="s">
        <v>113</v>
      </c>
      <c r="C35" s="74">
        <v>0</v>
      </c>
    </row>
    <row r="36" spans="1:3" s="18" customFormat="1" ht="15" customHeight="1">
      <c r="A36" s="52"/>
      <c r="B36" s="72" t="s">
        <v>114</v>
      </c>
      <c r="C36" s="74">
        <v>0</v>
      </c>
    </row>
    <row r="37" spans="1:3" s="18" customFormat="1" ht="15" customHeight="1">
      <c r="A37" s="52"/>
      <c r="B37" s="72" t="s">
        <v>115</v>
      </c>
      <c r="C37" s="74">
        <v>0</v>
      </c>
    </row>
    <row r="38" spans="1:3" s="18" customFormat="1" ht="15" customHeight="1">
      <c r="A38" s="52"/>
      <c r="B38" s="72" t="s">
        <v>116</v>
      </c>
      <c r="C38" s="74">
        <v>0</v>
      </c>
    </row>
    <row r="39" spans="1:3" s="18" customFormat="1" ht="15" customHeight="1">
      <c r="A39" s="52"/>
      <c r="B39" s="72" t="s">
        <v>117</v>
      </c>
      <c r="C39" s="74">
        <v>0</v>
      </c>
    </row>
    <row r="40" spans="1:3" s="18" customFormat="1" ht="15" customHeight="1">
      <c r="A40" s="52"/>
      <c r="B40" s="72" t="s">
        <v>144</v>
      </c>
      <c r="C40" s="74">
        <v>0</v>
      </c>
    </row>
    <row r="41" spans="1:3" s="18" customFormat="1" ht="31.5">
      <c r="A41" s="52"/>
      <c r="B41" s="72" t="s">
        <v>145</v>
      </c>
      <c r="C41" s="74">
        <f>SUM(C42:C53)</f>
        <v>0</v>
      </c>
    </row>
    <row r="42" spans="1:3" s="18" customFormat="1" ht="15" customHeight="1">
      <c r="A42" s="52"/>
      <c r="B42" s="72" t="s">
        <v>146</v>
      </c>
      <c r="C42" s="74">
        <v>0</v>
      </c>
    </row>
    <row r="43" spans="1:3" s="18" customFormat="1" ht="15" customHeight="1">
      <c r="A43" s="52"/>
      <c r="B43" s="72" t="s">
        <v>6</v>
      </c>
      <c r="C43" s="74">
        <v>0</v>
      </c>
    </row>
    <row r="44" spans="1:3" s="18" customFormat="1" ht="15" customHeight="1">
      <c r="A44" s="52"/>
      <c r="B44" s="72" t="s">
        <v>7</v>
      </c>
      <c r="C44" s="74">
        <v>0</v>
      </c>
    </row>
    <row r="45" spans="1:3" s="18" customFormat="1" ht="15" customHeight="1">
      <c r="A45" s="52"/>
      <c r="B45" s="72" t="s">
        <v>111</v>
      </c>
      <c r="C45" s="74">
        <v>0</v>
      </c>
    </row>
    <row r="46" spans="1:3" s="18" customFormat="1" ht="15" customHeight="1">
      <c r="A46" s="52"/>
      <c r="B46" s="72" t="s">
        <v>112</v>
      </c>
      <c r="C46" s="74">
        <v>0</v>
      </c>
    </row>
    <row r="47" spans="1:3" s="18" customFormat="1" ht="15" customHeight="1">
      <c r="A47" s="52"/>
      <c r="B47" s="72" t="s">
        <v>113</v>
      </c>
      <c r="C47" s="74">
        <v>0</v>
      </c>
    </row>
    <row r="48" spans="1:3" s="18" customFormat="1" ht="15" customHeight="1">
      <c r="A48" s="52"/>
      <c r="B48" s="72" t="s">
        <v>114</v>
      </c>
      <c r="C48" s="74">
        <v>0</v>
      </c>
    </row>
    <row r="49" spans="1:3" s="18" customFormat="1" ht="15" customHeight="1">
      <c r="A49" s="52"/>
      <c r="B49" s="72" t="s">
        <v>115</v>
      </c>
      <c r="C49" s="74">
        <v>0</v>
      </c>
    </row>
    <row r="50" spans="1:3" s="18" customFormat="1" ht="15" customHeight="1">
      <c r="A50" s="52"/>
      <c r="B50" s="72" t="s">
        <v>118</v>
      </c>
      <c r="C50" s="74">
        <v>0</v>
      </c>
    </row>
    <row r="51" spans="1:3" s="18" customFormat="1" ht="15" customHeight="1">
      <c r="A51" s="52"/>
      <c r="B51" s="72" t="s">
        <v>8</v>
      </c>
      <c r="C51" s="74">
        <v>0</v>
      </c>
    </row>
    <row r="52" spans="1:3" s="18" customFormat="1" ht="15" customHeight="1">
      <c r="A52" s="52"/>
      <c r="B52" s="72" t="s">
        <v>147</v>
      </c>
      <c r="C52" s="74">
        <v>0</v>
      </c>
    </row>
    <row r="53" spans="1:3" s="18" customFormat="1" ht="15" customHeight="1">
      <c r="A53" s="52"/>
      <c r="B53" s="72" t="s">
        <v>446</v>
      </c>
      <c r="C53" s="74">
        <v>0</v>
      </c>
    </row>
    <row r="54" spans="1:3" s="18" customFormat="1" ht="31.5">
      <c r="A54" s="52"/>
      <c r="B54" s="72" t="s">
        <v>148</v>
      </c>
      <c r="C54" s="74">
        <f>SUM(C55:C64)</f>
        <v>0</v>
      </c>
    </row>
    <row r="55" spans="1:3" s="18" customFormat="1" ht="31.5">
      <c r="A55" s="52"/>
      <c r="B55" s="72" t="s">
        <v>390</v>
      </c>
      <c r="C55" s="74">
        <v>0</v>
      </c>
    </row>
    <row r="56" spans="1:3" s="18" customFormat="1" ht="15.75">
      <c r="A56" s="52"/>
      <c r="B56" s="72" t="s">
        <v>6</v>
      </c>
      <c r="C56" s="74">
        <v>0</v>
      </c>
    </row>
    <row r="57" spans="1:3" s="18" customFormat="1" ht="15" customHeight="1">
      <c r="A57" s="52"/>
      <c r="B57" s="72" t="s">
        <v>7</v>
      </c>
      <c r="C57" s="74">
        <v>0</v>
      </c>
    </row>
    <row r="58" spans="1:3" s="18" customFormat="1" ht="15" customHeight="1">
      <c r="A58" s="52"/>
      <c r="B58" s="72" t="s">
        <v>149</v>
      </c>
      <c r="C58" s="74">
        <v>0</v>
      </c>
    </row>
    <row r="59" spans="1:3" s="18" customFormat="1" ht="15.75">
      <c r="A59" s="52"/>
      <c r="B59" s="72" t="s">
        <v>150</v>
      </c>
      <c r="C59" s="74">
        <v>0</v>
      </c>
    </row>
    <row r="60" spans="1:3" s="18" customFormat="1" ht="15" customHeight="1">
      <c r="A60" s="52"/>
      <c r="B60" s="72" t="s">
        <v>151</v>
      </c>
      <c r="C60" s="75">
        <v>0</v>
      </c>
    </row>
    <row r="61" spans="1:3" s="18" customFormat="1" ht="15" customHeight="1">
      <c r="A61" s="52"/>
      <c r="B61" s="72" t="s">
        <v>152</v>
      </c>
      <c r="C61" s="75">
        <v>0</v>
      </c>
    </row>
    <row r="62" spans="1:3" s="18" customFormat="1" ht="15.75">
      <c r="A62" s="52"/>
      <c r="B62" s="72" t="s">
        <v>153</v>
      </c>
      <c r="C62" s="75">
        <v>0</v>
      </c>
    </row>
    <row r="63" spans="1:3" s="18" customFormat="1" ht="15" customHeight="1">
      <c r="A63" s="52"/>
      <c r="B63" s="72" t="s">
        <v>154</v>
      </c>
      <c r="C63" s="75">
        <v>0</v>
      </c>
    </row>
    <row r="64" spans="1:3" s="18" customFormat="1" ht="15" customHeight="1">
      <c r="A64" s="52"/>
      <c r="B64" s="72" t="s">
        <v>8</v>
      </c>
      <c r="C64" s="75">
        <v>0</v>
      </c>
    </row>
    <row r="65" spans="1:3" s="18" customFormat="1" ht="15" customHeight="1">
      <c r="A65" s="52"/>
      <c r="B65" s="72" t="s">
        <v>155</v>
      </c>
      <c r="C65" s="75">
        <v>0</v>
      </c>
    </row>
    <row r="66" spans="1:3" s="18" customFormat="1" ht="15" customHeight="1">
      <c r="A66" s="53" t="s">
        <v>447</v>
      </c>
      <c r="B66" s="72" t="s">
        <v>119</v>
      </c>
      <c r="C66" s="77">
        <f>C67+C68+C69</f>
        <v>2040.7</v>
      </c>
    </row>
    <row r="67" spans="1:3" s="18" customFormat="1" ht="15" customHeight="1">
      <c r="A67" s="53" t="s">
        <v>448</v>
      </c>
      <c r="B67" s="72" t="s">
        <v>391</v>
      </c>
      <c r="C67" s="75">
        <v>0</v>
      </c>
    </row>
    <row r="68" spans="1:3" s="18" customFormat="1" ht="15" customHeight="1">
      <c r="A68" s="53"/>
      <c r="B68" s="72" t="s">
        <v>392</v>
      </c>
      <c r="C68" s="75">
        <v>1916.7</v>
      </c>
    </row>
    <row r="69" spans="1:3" s="18" customFormat="1" ht="15" customHeight="1">
      <c r="A69" s="53" t="s">
        <v>449</v>
      </c>
      <c r="B69" s="72" t="s">
        <v>156</v>
      </c>
      <c r="C69" s="75">
        <f>C70+C85</f>
        <v>124</v>
      </c>
    </row>
    <row r="70" spans="1:3" s="18" customFormat="1" ht="31.5">
      <c r="A70" s="53"/>
      <c r="B70" s="72" t="s">
        <v>450</v>
      </c>
      <c r="C70" s="77">
        <f>SUM(C71:C84)</f>
        <v>121</v>
      </c>
    </row>
    <row r="71" spans="1:3" s="18" customFormat="1" ht="15" customHeight="1">
      <c r="A71" s="53"/>
      <c r="B71" s="72" t="s">
        <v>157</v>
      </c>
      <c r="C71" s="75"/>
    </row>
    <row r="72" spans="1:3" s="18" customFormat="1" ht="15.75">
      <c r="A72" s="53"/>
      <c r="B72" s="72" t="s">
        <v>158</v>
      </c>
      <c r="C72" s="75"/>
    </row>
    <row r="73" spans="1:3" s="18" customFormat="1" ht="15" customHeight="1">
      <c r="A73" s="53"/>
      <c r="B73" s="72" t="s">
        <v>120</v>
      </c>
      <c r="C73" s="75">
        <v>0</v>
      </c>
    </row>
    <row r="74" spans="1:3" s="18" customFormat="1" ht="15" customHeight="1">
      <c r="A74" s="52"/>
      <c r="B74" s="72" t="s">
        <v>121</v>
      </c>
      <c r="C74" s="75">
        <v>0</v>
      </c>
    </row>
    <row r="75" spans="1:3" s="18" customFormat="1" ht="15" customHeight="1">
      <c r="A75" s="52"/>
      <c r="B75" s="72" t="s">
        <v>122</v>
      </c>
      <c r="C75" s="75">
        <v>0</v>
      </c>
    </row>
    <row r="76" spans="1:3" s="18" customFormat="1" ht="15" customHeight="1">
      <c r="A76" s="52"/>
      <c r="B76" s="72" t="s">
        <v>123</v>
      </c>
      <c r="C76" s="75">
        <v>0</v>
      </c>
    </row>
    <row r="77" spans="1:3" s="18" customFormat="1" ht="15" customHeight="1">
      <c r="A77" s="52"/>
      <c r="B77" s="72" t="s">
        <v>124</v>
      </c>
      <c r="C77" s="75">
        <v>0</v>
      </c>
    </row>
    <row r="78" spans="1:3" s="18" customFormat="1" ht="15" customHeight="1">
      <c r="A78" s="52"/>
      <c r="B78" s="72" t="s">
        <v>125</v>
      </c>
      <c r="C78" s="75">
        <v>0</v>
      </c>
    </row>
    <row r="79" spans="1:3" s="18" customFormat="1" ht="15" customHeight="1">
      <c r="A79" s="52"/>
      <c r="B79" s="72" t="s">
        <v>126</v>
      </c>
      <c r="C79" s="75">
        <v>0</v>
      </c>
    </row>
    <row r="80" spans="1:3" s="18" customFormat="1" ht="15" customHeight="1">
      <c r="A80" s="52"/>
      <c r="B80" s="72" t="s">
        <v>451</v>
      </c>
      <c r="C80" s="74">
        <v>0</v>
      </c>
    </row>
    <row r="81" spans="1:3" s="18" customFormat="1" ht="15" customHeight="1">
      <c r="A81" s="52"/>
      <c r="B81" s="72" t="s">
        <v>127</v>
      </c>
      <c r="C81" s="75">
        <v>0</v>
      </c>
    </row>
    <row r="82" spans="1:3" s="18" customFormat="1" ht="15" customHeight="1">
      <c r="A82" s="52"/>
      <c r="B82" s="72" t="s">
        <v>128</v>
      </c>
      <c r="C82" s="75">
        <v>0</v>
      </c>
    </row>
    <row r="83" spans="1:3" s="18" customFormat="1" ht="15" customHeight="1">
      <c r="A83" s="52"/>
      <c r="B83" s="72" t="s">
        <v>452</v>
      </c>
      <c r="C83" s="75"/>
    </row>
    <row r="84" spans="1:3" s="18" customFormat="1" ht="15" customHeight="1">
      <c r="A84" s="52"/>
      <c r="B84" s="72" t="s">
        <v>129</v>
      </c>
      <c r="C84" s="75">
        <v>121</v>
      </c>
    </row>
    <row r="85" spans="1:3" s="18" customFormat="1" ht="32.25" customHeight="1">
      <c r="A85" s="54"/>
      <c r="B85" s="72" t="s">
        <v>130</v>
      </c>
      <c r="C85" s="75">
        <f>SUM(C86:C99)</f>
        <v>3</v>
      </c>
    </row>
    <row r="86" spans="1:3" s="18" customFormat="1" ht="15" customHeight="1">
      <c r="A86" s="54"/>
      <c r="B86" s="72" t="s">
        <v>157</v>
      </c>
      <c r="C86" s="75"/>
    </row>
    <row r="87" spans="1:3" s="18" customFormat="1" ht="15" customHeight="1">
      <c r="A87" s="54"/>
      <c r="B87" s="72" t="s">
        <v>158</v>
      </c>
      <c r="C87" s="75"/>
    </row>
    <row r="88" spans="1:3" s="18" customFormat="1" ht="15" customHeight="1">
      <c r="A88" s="54"/>
      <c r="B88" s="72" t="s">
        <v>120</v>
      </c>
      <c r="C88" s="75">
        <v>3</v>
      </c>
    </row>
    <row r="89" spans="1:3" s="18" customFormat="1" ht="15" customHeight="1">
      <c r="A89" s="54"/>
      <c r="B89" s="72" t="s">
        <v>121</v>
      </c>
      <c r="C89" s="75">
        <v>0</v>
      </c>
    </row>
    <row r="90" spans="1:3" s="18" customFormat="1" ht="15" customHeight="1">
      <c r="A90" s="54"/>
      <c r="B90" s="72" t="s">
        <v>131</v>
      </c>
      <c r="C90" s="75">
        <v>0</v>
      </c>
    </row>
    <row r="91" spans="1:3" s="18" customFormat="1" ht="15" customHeight="1">
      <c r="A91" s="54"/>
      <c r="B91" s="72" t="s">
        <v>123</v>
      </c>
      <c r="C91" s="75">
        <v>0</v>
      </c>
    </row>
    <row r="92" spans="1:3" s="18" customFormat="1" ht="15" customHeight="1">
      <c r="A92" s="54"/>
      <c r="B92" s="72" t="s">
        <v>124</v>
      </c>
      <c r="C92" s="75"/>
    </row>
    <row r="93" spans="1:3" s="18" customFormat="1" ht="15" customHeight="1">
      <c r="A93" s="54"/>
      <c r="B93" s="72" t="s">
        <v>125</v>
      </c>
      <c r="C93" s="75">
        <v>0</v>
      </c>
    </row>
    <row r="94" spans="1:3" s="18" customFormat="1" ht="15" customHeight="1">
      <c r="A94" s="54"/>
      <c r="B94" s="72" t="s">
        <v>126</v>
      </c>
      <c r="C94" s="75">
        <v>0</v>
      </c>
    </row>
    <row r="95" spans="1:3" s="18" customFormat="1" ht="15" customHeight="1">
      <c r="A95" s="52"/>
      <c r="B95" s="72" t="s">
        <v>451</v>
      </c>
      <c r="C95" s="74">
        <v>0</v>
      </c>
    </row>
    <row r="96" spans="1:3" ht="15" customHeight="1">
      <c r="A96" s="54"/>
      <c r="B96" s="72" t="s">
        <v>127</v>
      </c>
      <c r="C96" s="78"/>
    </row>
    <row r="97" spans="1:3" ht="15" customHeight="1">
      <c r="A97" s="54"/>
      <c r="B97" s="72" t="s">
        <v>128</v>
      </c>
      <c r="C97" s="78">
        <v>0</v>
      </c>
    </row>
    <row r="98" spans="1:3" ht="15" customHeight="1">
      <c r="A98" s="54"/>
      <c r="B98" s="72" t="s">
        <v>452</v>
      </c>
      <c r="C98" s="78"/>
    </row>
    <row r="99" spans="1:3" ht="15" customHeight="1">
      <c r="A99" s="54"/>
      <c r="B99" s="72" t="s">
        <v>129</v>
      </c>
      <c r="C99" s="78">
        <v>0</v>
      </c>
    </row>
    <row r="100" spans="1:3" ht="32.25" customHeight="1">
      <c r="A100" s="54"/>
      <c r="B100" s="72" t="s">
        <v>160</v>
      </c>
      <c r="C100" s="78">
        <f>SUM(C101:C114)</f>
        <v>0</v>
      </c>
    </row>
    <row r="101" spans="1:3" ht="15" customHeight="1">
      <c r="A101" s="54"/>
      <c r="B101" s="72" t="s">
        <v>157</v>
      </c>
      <c r="C101" s="78">
        <v>0</v>
      </c>
    </row>
    <row r="102" spans="1:3" ht="15" customHeight="1">
      <c r="A102" s="54"/>
      <c r="B102" s="72" t="s">
        <v>158</v>
      </c>
      <c r="C102" s="78">
        <v>0</v>
      </c>
    </row>
    <row r="103" spans="1:3" ht="15" customHeight="1">
      <c r="A103" s="54"/>
      <c r="B103" s="72" t="s">
        <v>120</v>
      </c>
      <c r="C103" s="78">
        <v>0</v>
      </c>
    </row>
    <row r="104" spans="1:3" ht="15" customHeight="1">
      <c r="A104" s="54"/>
      <c r="B104" s="72" t="s">
        <v>121</v>
      </c>
      <c r="C104" s="78">
        <v>0</v>
      </c>
    </row>
    <row r="105" spans="1:3" ht="15" customHeight="1">
      <c r="A105" s="54"/>
      <c r="B105" s="72" t="s">
        <v>131</v>
      </c>
      <c r="C105" s="78">
        <v>0</v>
      </c>
    </row>
    <row r="106" spans="1:3" ht="15" customHeight="1">
      <c r="A106" s="54"/>
      <c r="B106" s="72" t="s">
        <v>123</v>
      </c>
      <c r="C106" s="78">
        <v>0</v>
      </c>
    </row>
    <row r="107" spans="1:3" ht="15" customHeight="1">
      <c r="A107" s="54"/>
      <c r="B107" s="72" t="s">
        <v>124</v>
      </c>
      <c r="C107" s="78">
        <v>0</v>
      </c>
    </row>
    <row r="108" spans="1:3" ht="15" customHeight="1">
      <c r="A108" s="54"/>
      <c r="B108" s="72" t="s">
        <v>125</v>
      </c>
      <c r="C108" s="79">
        <v>0</v>
      </c>
    </row>
    <row r="109" spans="1:3" ht="15" customHeight="1">
      <c r="A109" s="54"/>
      <c r="B109" s="72" t="s">
        <v>126</v>
      </c>
      <c r="C109" s="79">
        <v>0</v>
      </c>
    </row>
    <row r="110" spans="1:3" ht="15" customHeight="1">
      <c r="A110" s="54"/>
      <c r="B110" s="72" t="s">
        <v>127</v>
      </c>
      <c r="C110" s="79">
        <v>0</v>
      </c>
    </row>
    <row r="111" spans="1:3" ht="19.5" customHeight="1">
      <c r="A111" s="54"/>
      <c r="B111" s="72" t="s">
        <v>128</v>
      </c>
      <c r="C111" s="79">
        <v>0</v>
      </c>
    </row>
    <row r="112" spans="1:3" ht="23.25" customHeight="1">
      <c r="A112" s="54"/>
      <c r="B112" s="72" t="s">
        <v>159</v>
      </c>
      <c r="C112" s="79">
        <v>0</v>
      </c>
    </row>
    <row r="113" spans="1:3" ht="20.25" customHeight="1">
      <c r="A113" s="54"/>
      <c r="B113" s="72" t="s">
        <v>129</v>
      </c>
      <c r="C113" s="79">
        <v>0</v>
      </c>
    </row>
    <row r="114" spans="1:3" ht="20.25" customHeight="1">
      <c r="A114" s="54"/>
      <c r="B114" s="72" t="s">
        <v>453</v>
      </c>
      <c r="C114" s="79">
        <v>0</v>
      </c>
    </row>
    <row r="115" spans="1:3" ht="15.75">
      <c r="A115" s="53" t="s">
        <v>454</v>
      </c>
      <c r="B115" s="72" t="s">
        <v>455</v>
      </c>
      <c r="C115" s="79">
        <f>C130+C144+C158</f>
        <v>0</v>
      </c>
    </row>
    <row r="116" spans="1:3" ht="35.25" customHeight="1">
      <c r="A116" s="54"/>
      <c r="B116" s="72" t="s">
        <v>456</v>
      </c>
      <c r="C116" s="79">
        <f>SUM(C117:C129)</f>
        <v>0</v>
      </c>
    </row>
    <row r="117" spans="1:3" ht="18" customHeight="1">
      <c r="A117" s="54"/>
      <c r="B117" s="72" t="s">
        <v>157</v>
      </c>
      <c r="C117" s="79">
        <v>0</v>
      </c>
    </row>
    <row r="118" spans="1:3" ht="18" customHeight="1">
      <c r="A118" s="54"/>
      <c r="B118" s="72" t="s">
        <v>158</v>
      </c>
      <c r="C118" s="79">
        <v>0</v>
      </c>
    </row>
    <row r="119" spans="1:3" ht="18" customHeight="1">
      <c r="A119" s="54"/>
      <c r="B119" s="72" t="s">
        <v>120</v>
      </c>
      <c r="C119" s="79">
        <v>0</v>
      </c>
    </row>
    <row r="120" spans="1:3" ht="18" customHeight="1">
      <c r="A120" s="54"/>
      <c r="B120" s="72" t="s">
        <v>121</v>
      </c>
      <c r="C120" s="79">
        <v>0</v>
      </c>
    </row>
    <row r="121" spans="1:3" ht="18" customHeight="1">
      <c r="A121" s="54"/>
      <c r="B121" s="72" t="s">
        <v>131</v>
      </c>
      <c r="C121" s="79">
        <v>0</v>
      </c>
    </row>
    <row r="122" spans="1:3" ht="18" customHeight="1">
      <c r="A122" s="54"/>
      <c r="B122" s="72" t="s">
        <v>123</v>
      </c>
      <c r="C122" s="79">
        <v>0</v>
      </c>
    </row>
    <row r="123" spans="1:3" ht="18" customHeight="1">
      <c r="A123" s="54"/>
      <c r="B123" s="72" t="s">
        <v>124</v>
      </c>
      <c r="C123" s="79">
        <v>0</v>
      </c>
    </row>
    <row r="124" spans="1:3" ht="18" customHeight="1">
      <c r="A124" s="54"/>
      <c r="B124" s="72" t="s">
        <v>125</v>
      </c>
      <c r="C124" s="79">
        <v>0</v>
      </c>
    </row>
    <row r="125" spans="1:3" ht="18" customHeight="1">
      <c r="A125" s="54"/>
      <c r="B125" s="72" t="s">
        <v>126</v>
      </c>
      <c r="C125" s="79">
        <v>0</v>
      </c>
    </row>
    <row r="126" spans="1:3" ht="18" customHeight="1">
      <c r="A126" s="54"/>
      <c r="B126" s="72" t="s">
        <v>127</v>
      </c>
      <c r="C126" s="79">
        <v>0</v>
      </c>
    </row>
    <row r="127" spans="1:3" ht="18" customHeight="1">
      <c r="A127" s="54"/>
      <c r="B127" s="72" t="s">
        <v>128</v>
      </c>
      <c r="C127" s="79">
        <v>0</v>
      </c>
    </row>
    <row r="128" spans="1:3" ht="18" customHeight="1">
      <c r="A128" s="54"/>
      <c r="B128" s="72" t="s">
        <v>159</v>
      </c>
      <c r="C128" s="79">
        <v>0</v>
      </c>
    </row>
    <row r="129" spans="1:3" ht="18" customHeight="1">
      <c r="A129" s="54"/>
      <c r="B129" s="72" t="s">
        <v>129</v>
      </c>
      <c r="C129" s="79">
        <v>0</v>
      </c>
    </row>
    <row r="130" spans="1:3" ht="35.25" customHeight="1">
      <c r="A130" s="54"/>
      <c r="B130" s="72" t="s">
        <v>457</v>
      </c>
      <c r="C130" s="79">
        <f>SUM(C131:C143)</f>
        <v>0</v>
      </c>
    </row>
    <row r="131" spans="1:3" ht="18" customHeight="1">
      <c r="A131" s="54"/>
      <c r="B131" s="72" t="s">
        <v>157</v>
      </c>
      <c r="C131" s="79">
        <v>0</v>
      </c>
    </row>
    <row r="132" spans="1:3" ht="18" customHeight="1">
      <c r="A132" s="54"/>
      <c r="B132" s="72" t="s">
        <v>158</v>
      </c>
      <c r="C132" s="79">
        <v>0</v>
      </c>
    </row>
    <row r="133" spans="1:3" ht="18" customHeight="1">
      <c r="A133" s="54"/>
      <c r="B133" s="72" t="s">
        <v>120</v>
      </c>
      <c r="C133" s="79">
        <v>0</v>
      </c>
    </row>
    <row r="134" spans="1:3" ht="18" customHeight="1">
      <c r="A134" s="54"/>
      <c r="B134" s="72" t="s">
        <v>121</v>
      </c>
      <c r="C134" s="79">
        <v>0</v>
      </c>
    </row>
    <row r="135" spans="1:3" ht="18" customHeight="1">
      <c r="A135" s="54"/>
      <c r="B135" s="72" t="s">
        <v>131</v>
      </c>
      <c r="C135" s="79">
        <v>0</v>
      </c>
    </row>
    <row r="136" spans="1:3" ht="18" customHeight="1">
      <c r="A136" s="54"/>
      <c r="B136" s="72" t="s">
        <v>123</v>
      </c>
      <c r="C136" s="79">
        <v>0</v>
      </c>
    </row>
    <row r="137" spans="1:3" ht="18" customHeight="1">
      <c r="A137" s="54"/>
      <c r="B137" s="72" t="s">
        <v>124</v>
      </c>
      <c r="C137" s="79">
        <v>0</v>
      </c>
    </row>
    <row r="138" spans="1:3" ht="18" customHeight="1">
      <c r="A138" s="54"/>
      <c r="B138" s="72" t="s">
        <v>125</v>
      </c>
      <c r="C138" s="79">
        <v>0</v>
      </c>
    </row>
    <row r="139" spans="1:3" ht="18" customHeight="1">
      <c r="A139" s="54"/>
      <c r="B139" s="72" t="s">
        <v>126</v>
      </c>
      <c r="C139" s="79">
        <v>0</v>
      </c>
    </row>
    <row r="140" spans="1:3" ht="18" customHeight="1">
      <c r="A140" s="54"/>
      <c r="B140" s="72" t="s">
        <v>127</v>
      </c>
      <c r="C140" s="79">
        <v>0</v>
      </c>
    </row>
    <row r="141" spans="1:3" ht="18" customHeight="1">
      <c r="A141" s="54"/>
      <c r="B141" s="72" t="s">
        <v>128</v>
      </c>
      <c r="C141" s="79">
        <v>0</v>
      </c>
    </row>
    <row r="142" spans="1:3" ht="18" customHeight="1">
      <c r="A142" s="54"/>
      <c r="B142" s="72" t="s">
        <v>159</v>
      </c>
      <c r="C142" s="79">
        <v>0</v>
      </c>
    </row>
    <row r="143" spans="1:3" ht="18" customHeight="1">
      <c r="A143" s="54"/>
      <c r="B143" s="72" t="s">
        <v>129</v>
      </c>
      <c r="C143" s="79">
        <v>0</v>
      </c>
    </row>
    <row r="144" spans="1:3" ht="32.25" customHeight="1">
      <c r="A144" s="54"/>
      <c r="B144" s="72" t="s">
        <v>161</v>
      </c>
      <c r="C144" s="79">
        <f>SUM(C145:C157)</f>
        <v>0</v>
      </c>
    </row>
    <row r="145" spans="1:3" ht="18" customHeight="1">
      <c r="A145" s="54"/>
      <c r="B145" s="72" t="s">
        <v>157</v>
      </c>
      <c r="C145" s="79">
        <v>0</v>
      </c>
    </row>
    <row r="146" spans="1:3" ht="18" customHeight="1">
      <c r="A146" s="54"/>
      <c r="B146" s="72" t="s">
        <v>158</v>
      </c>
      <c r="C146" s="79">
        <v>0</v>
      </c>
    </row>
    <row r="147" spans="1:3" ht="18" customHeight="1">
      <c r="A147" s="54"/>
      <c r="B147" s="72" t="s">
        <v>120</v>
      </c>
      <c r="C147" s="79">
        <v>0</v>
      </c>
    </row>
    <row r="148" spans="1:3" ht="18" customHeight="1">
      <c r="A148" s="54"/>
      <c r="B148" s="72" t="s">
        <v>121</v>
      </c>
      <c r="C148" s="79">
        <v>0</v>
      </c>
    </row>
    <row r="149" spans="1:3" ht="18" customHeight="1">
      <c r="A149" s="54"/>
      <c r="B149" s="72" t="s">
        <v>131</v>
      </c>
      <c r="C149" s="79">
        <v>0</v>
      </c>
    </row>
    <row r="150" spans="1:3" ht="18" customHeight="1">
      <c r="A150" s="54"/>
      <c r="B150" s="72" t="s">
        <v>123</v>
      </c>
      <c r="C150" s="79">
        <v>0</v>
      </c>
    </row>
    <row r="151" spans="1:3" ht="18" customHeight="1">
      <c r="A151" s="54"/>
      <c r="B151" s="72" t="s">
        <v>124</v>
      </c>
      <c r="C151" s="79">
        <v>0</v>
      </c>
    </row>
    <row r="152" spans="1:3" ht="18" customHeight="1">
      <c r="A152" s="54"/>
      <c r="B152" s="72" t="s">
        <v>125</v>
      </c>
      <c r="C152" s="79">
        <v>0</v>
      </c>
    </row>
    <row r="153" spans="1:3" ht="18" customHeight="1">
      <c r="A153" s="54"/>
      <c r="B153" s="72" t="s">
        <v>126</v>
      </c>
      <c r="C153" s="79">
        <v>0</v>
      </c>
    </row>
    <row r="154" spans="1:3" ht="15" customHeight="1">
      <c r="A154" s="54"/>
      <c r="B154" s="72" t="s">
        <v>127</v>
      </c>
      <c r="C154" s="79">
        <v>0</v>
      </c>
    </row>
    <row r="155" spans="1:3" ht="15" customHeight="1">
      <c r="A155" s="54"/>
      <c r="B155" s="72" t="s">
        <v>128</v>
      </c>
      <c r="C155" s="79">
        <v>0</v>
      </c>
    </row>
    <row r="156" spans="1:3" ht="15" customHeight="1">
      <c r="A156" s="54"/>
      <c r="B156" s="72" t="s">
        <v>159</v>
      </c>
      <c r="C156" s="79">
        <v>0</v>
      </c>
    </row>
    <row r="157" spans="1:3" ht="15" customHeight="1">
      <c r="A157" s="54"/>
      <c r="B157" s="72" t="s">
        <v>129</v>
      </c>
      <c r="C157" s="79">
        <v>0</v>
      </c>
    </row>
    <row r="158" spans="1:3" ht="15.75" customHeight="1">
      <c r="A158" s="54"/>
      <c r="B158" s="72" t="s">
        <v>162</v>
      </c>
      <c r="C158" s="79">
        <v>0</v>
      </c>
    </row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/>
  <autoFilter ref="B4:C94"/>
  <mergeCells count="2">
    <mergeCell ref="B1:C1"/>
    <mergeCell ref="B3:C3"/>
  </mergeCells>
  <printOptions/>
  <pageMargins left="0.7086614173228347" right="0.7086614173228347" top="0.25" bottom="0.35433070866141736" header="0.25" footer="0.31496062992125984"/>
  <pageSetup horizontalDpi="180" verticalDpi="18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10"/>
  <sheetViews>
    <sheetView view="pageBreakPreview" zoomScale="85" zoomScaleNormal="120" zoomScaleSheetLayoutView="85" workbookViewId="0" topLeftCell="A1">
      <selection activeCell="A2" sqref="A1:N16384"/>
    </sheetView>
  </sheetViews>
  <sheetFormatPr defaultColWidth="9.140625" defaultRowHeight="15"/>
  <cols>
    <col min="1" max="1" width="37.28125" style="40" customWidth="1"/>
    <col min="2" max="2" width="4.7109375" style="20" customWidth="1"/>
    <col min="3" max="3" width="8.57421875" style="20" customWidth="1"/>
    <col min="4" max="4" width="10.57421875" style="20" bestFit="1" customWidth="1"/>
    <col min="5" max="6" width="6.7109375" style="20" customWidth="1"/>
    <col min="7" max="7" width="15.00390625" style="20" bestFit="1" customWidth="1"/>
    <col min="8" max="8" width="13.421875" style="20" bestFit="1" customWidth="1"/>
    <col min="9" max="9" width="18.28125" style="20" bestFit="1" customWidth="1"/>
    <col min="10" max="10" width="16.8515625" style="20" bestFit="1" customWidth="1"/>
    <col min="11" max="11" width="5.57421875" style="20" hidden="1" customWidth="1"/>
    <col min="12" max="12" width="11.421875" style="20" hidden="1" customWidth="1"/>
    <col min="13" max="13" width="16.57421875" style="20" customWidth="1"/>
    <col min="14" max="14" width="5.28125" style="20" customWidth="1"/>
    <col min="15" max="15" width="12.8515625" style="63" customWidth="1"/>
    <col min="16" max="16" width="15.00390625" style="0" customWidth="1"/>
  </cols>
  <sheetData>
    <row r="1" spans="1:14" ht="12.75" customHeight="1">
      <c r="A1" s="627" t="s">
        <v>9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</row>
    <row r="2" spans="1:14" ht="12.75" customHeight="1">
      <c r="A2" s="3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3" t="s">
        <v>42</v>
      </c>
    </row>
    <row r="3" spans="1:14" ht="12.75" customHeight="1">
      <c r="A3" s="38"/>
      <c r="B3" s="21"/>
      <c r="C3" s="21"/>
      <c r="D3" s="21"/>
      <c r="E3" s="21"/>
      <c r="F3" s="21"/>
      <c r="G3" s="21"/>
      <c r="H3" s="607" t="s">
        <v>41</v>
      </c>
      <c r="I3" s="607"/>
      <c r="J3" s="607"/>
      <c r="K3" s="607"/>
      <c r="L3" s="21"/>
      <c r="M3" s="21"/>
      <c r="N3" s="21"/>
    </row>
    <row r="4" spans="1:14" ht="12.75" customHeight="1">
      <c r="A4" s="38"/>
      <c r="B4" s="21"/>
      <c r="C4" s="21"/>
      <c r="D4" s="21"/>
      <c r="E4" s="21"/>
      <c r="F4" s="21"/>
      <c r="G4" s="21"/>
      <c r="H4" s="628" t="s">
        <v>764</v>
      </c>
      <c r="I4" s="608"/>
      <c r="J4" s="608"/>
      <c r="K4" s="608"/>
      <c r="L4" s="21"/>
      <c r="M4" s="21"/>
      <c r="N4" s="21"/>
    </row>
    <row r="5" spans="1:14" ht="12.75" customHeight="1">
      <c r="A5" s="38"/>
      <c r="B5" s="21"/>
      <c r="C5" s="21"/>
      <c r="D5" s="21"/>
      <c r="E5" s="21"/>
      <c r="F5" s="21"/>
      <c r="G5" s="21"/>
      <c r="H5" s="22"/>
      <c r="I5" s="22"/>
      <c r="J5" s="22"/>
      <c r="K5" s="22"/>
      <c r="L5" s="21"/>
      <c r="M5" s="21"/>
      <c r="N5" s="21"/>
    </row>
    <row r="6" spans="1:15" s="8" customFormat="1" ht="18" customHeight="1">
      <c r="A6" s="615" t="s">
        <v>1</v>
      </c>
      <c r="B6" s="605" t="s">
        <v>45</v>
      </c>
      <c r="C6" s="629" t="s">
        <v>397</v>
      </c>
      <c r="D6" s="618" t="s">
        <v>163</v>
      </c>
      <c r="E6" s="612" t="s">
        <v>164</v>
      </c>
      <c r="F6" s="605" t="s">
        <v>165</v>
      </c>
      <c r="G6" s="621" t="s">
        <v>338</v>
      </c>
      <c r="H6" s="609" t="s">
        <v>38</v>
      </c>
      <c r="I6" s="610"/>
      <c r="J6" s="610"/>
      <c r="K6" s="610"/>
      <c r="L6" s="610"/>
      <c r="M6" s="610"/>
      <c r="N6" s="611"/>
      <c r="O6" s="64"/>
    </row>
    <row r="7" spans="1:15" s="8" customFormat="1" ht="16.5" customHeight="1">
      <c r="A7" s="616"/>
      <c r="B7" s="605"/>
      <c r="C7" s="630"/>
      <c r="D7" s="619"/>
      <c r="E7" s="606"/>
      <c r="F7" s="605"/>
      <c r="G7" s="622"/>
      <c r="H7" s="612" t="s">
        <v>33</v>
      </c>
      <c r="I7" s="605" t="s">
        <v>4</v>
      </c>
      <c r="J7" s="605"/>
      <c r="K7" s="605"/>
      <c r="L7" s="605"/>
      <c r="M7" s="605"/>
      <c r="N7" s="605"/>
      <c r="O7" s="64"/>
    </row>
    <row r="8" spans="1:15" s="8" customFormat="1" ht="68.25" customHeight="1">
      <c r="A8" s="616"/>
      <c r="B8" s="605"/>
      <c r="C8" s="630"/>
      <c r="D8" s="619"/>
      <c r="E8" s="606"/>
      <c r="F8" s="605"/>
      <c r="G8" s="622"/>
      <c r="H8" s="606"/>
      <c r="I8" s="613" t="s">
        <v>398</v>
      </c>
      <c r="J8" s="625" t="s">
        <v>166</v>
      </c>
      <c r="K8" s="604" t="s">
        <v>34</v>
      </c>
      <c r="L8" s="606" t="s">
        <v>35</v>
      </c>
      <c r="M8" s="604" t="s">
        <v>50</v>
      </c>
      <c r="N8" s="604"/>
      <c r="O8" s="64"/>
    </row>
    <row r="9" spans="1:15" s="8" customFormat="1" ht="30.75" customHeight="1">
      <c r="A9" s="617"/>
      <c r="B9" s="605"/>
      <c r="C9" s="631"/>
      <c r="D9" s="620"/>
      <c r="E9" s="604"/>
      <c r="F9" s="605"/>
      <c r="G9" s="623"/>
      <c r="H9" s="604"/>
      <c r="I9" s="614"/>
      <c r="J9" s="626"/>
      <c r="K9" s="605"/>
      <c r="L9" s="604"/>
      <c r="M9" s="42" t="s">
        <v>36</v>
      </c>
      <c r="N9" s="42" t="s">
        <v>37</v>
      </c>
      <c r="O9" s="64"/>
    </row>
    <row r="10" spans="1:15" s="9" customFormat="1" ht="12">
      <c r="A10" s="24">
        <v>2</v>
      </c>
      <c r="B10" s="24">
        <v>3</v>
      </c>
      <c r="C10" s="24"/>
      <c r="D10" s="24">
        <v>4</v>
      </c>
      <c r="E10" s="24">
        <v>5</v>
      </c>
      <c r="F10" s="24">
        <v>6</v>
      </c>
      <c r="G10" s="24">
        <v>7</v>
      </c>
      <c r="H10" s="17">
        <v>8</v>
      </c>
      <c r="I10" s="17">
        <v>9</v>
      </c>
      <c r="J10" s="17">
        <v>10</v>
      </c>
      <c r="K10" s="17">
        <v>11</v>
      </c>
      <c r="L10" s="17">
        <v>12</v>
      </c>
      <c r="M10" s="17">
        <v>13</v>
      </c>
      <c r="N10" s="17">
        <v>14</v>
      </c>
      <c r="O10" s="65"/>
    </row>
    <row r="11" spans="1:16" s="168" customFormat="1" ht="12.75">
      <c r="A11" s="103" t="s">
        <v>43</v>
      </c>
      <c r="B11" s="165">
        <v>100</v>
      </c>
      <c r="C11" s="165"/>
      <c r="D11" s="165"/>
      <c r="E11" s="165"/>
      <c r="F11" s="165" t="s">
        <v>10</v>
      </c>
      <c r="G11" s="166"/>
      <c r="H11" s="167">
        <f>H13+H17+H57</f>
        <v>66326353.14</v>
      </c>
      <c r="I11" s="167">
        <f>I17</f>
        <v>46600575.79</v>
      </c>
      <c r="J11" s="167">
        <f>J57</f>
        <v>6020660.31</v>
      </c>
      <c r="K11" s="167">
        <f>K59</f>
        <v>0</v>
      </c>
      <c r="L11" s="167">
        <f>L17</f>
        <v>0</v>
      </c>
      <c r="M11" s="167">
        <f>M13+M17+M56+M85</f>
        <v>13481583.04</v>
      </c>
      <c r="N11" s="167">
        <f>N17+N85</f>
        <v>0</v>
      </c>
      <c r="P11" s="167"/>
    </row>
    <row r="12" spans="1:14" s="107" customFormat="1" ht="12.75">
      <c r="A12" s="108" t="s">
        <v>3</v>
      </c>
      <c r="B12" s="109"/>
      <c r="C12" s="109"/>
      <c r="D12" s="109"/>
      <c r="E12" s="109"/>
      <c r="F12" s="109"/>
      <c r="G12" s="110"/>
      <c r="H12" s="111"/>
      <c r="I12" s="111"/>
      <c r="J12" s="111"/>
      <c r="K12" s="112"/>
      <c r="L12" s="112"/>
      <c r="M12" s="113"/>
      <c r="N12" s="112"/>
    </row>
    <row r="13" spans="1:14" s="173" customFormat="1" ht="17.25" customHeight="1">
      <c r="A13" s="169" t="s">
        <v>32</v>
      </c>
      <c r="B13" s="157">
        <v>110</v>
      </c>
      <c r="C13" s="157">
        <v>120</v>
      </c>
      <c r="D13" s="170" t="s">
        <v>521</v>
      </c>
      <c r="E13" s="157"/>
      <c r="F13" s="157">
        <v>120</v>
      </c>
      <c r="G13" s="171" t="s">
        <v>363</v>
      </c>
      <c r="H13" s="159">
        <f>M13</f>
        <v>786083.04</v>
      </c>
      <c r="I13" s="157" t="s">
        <v>74</v>
      </c>
      <c r="J13" s="157" t="s">
        <v>74</v>
      </c>
      <c r="K13" s="172" t="s">
        <v>10</v>
      </c>
      <c r="L13" s="172" t="s">
        <v>10</v>
      </c>
      <c r="M13" s="162">
        <f>M15+M16</f>
        <v>786083.04</v>
      </c>
      <c r="N13" s="172" t="s">
        <v>10</v>
      </c>
    </row>
    <row r="14" spans="1:14" s="121" customFormat="1" ht="12.75">
      <c r="A14" s="114" t="s">
        <v>364</v>
      </c>
      <c r="B14" s="115"/>
      <c r="C14" s="115"/>
      <c r="D14" s="116"/>
      <c r="E14" s="115"/>
      <c r="F14" s="115"/>
      <c r="G14" s="122"/>
      <c r="H14" s="118"/>
      <c r="I14" s="122"/>
      <c r="J14" s="115"/>
      <c r="K14" s="119"/>
      <c r="L14" s="123"/>
      <c r="M14" s="118"/>
      <c r="N14" s="123"/>
    </row>
    <row r="15" spans="1:14" s="121" customFormat="1" ht="14.25" customHeight="1">
      <c r="A15" s="114" t="s">
        <v>365</v>
      </c>
      <c r="B15" s="115"/>
      <c r="C15" s="115">
        <v>121</v>
      </c>
      <c r="D15" s="116" t="s">
        <v>521</v>
      </c>
      <c r="E15" s="115"/>
      <c r="F15" s="115">
        <v>121</v>
      </c>
      <c r="G15" s="117" t="s">
        <v>363</v>
      </c>
      <c r="H15" s="118">
        <f>SUM(I15:M15)</f>
        <v>736083.04</v>
      </c>
      <c r="I15" s="122"/>
      <c r="J15" s="115"/>
      <c r="K15" s="119"/>
      <c r="L15" s="123"/>
      <c r="M15" s="118">
        <f>673583.04+62500</f>
        <v>736083.04</v>
      </c>
      <c r="N15" s="123"/>
    </row>
    <row r="16" spans="1:14" s="121" customFormat="1" ht="24.75" customHeight="1">
      <c r="A16" s="114" t="s">
        <v>366</v>
      </c>
      <c r="B16" s="115"/>
      <c r="C16" s="115">
        <v>124</v>
      </c>
      <c r="D16" s="116" t="s">
        <v>521</v>
      </c>
      <c r="E16" s="115"/>
      <c r="F16" s="115">
        <v>124</v>
      </c>
      <c r="G16" s="117" t="s">
        <v>363</v>
      </c>
      <c r="H16" s="118">
        <f>SUM(I16:M16)</f>
        <v>50000</v>
      </c>
      <c r="I16" s="122"/>
      <c r="J16" s="115"/>
      <c r="K16" s="119"/>
      <c r="L16" s="123"/>
      <c r="M16" s="118">
        <v>50000</v>
      </c>
      <c r="N16" s="123"/>
    </row>
    <row r="17" spans="1:14" s="173" customFormat="1" ht="23.25" customHeight="1">
      <c r="A17" s="169" t="s">
        <v>367</v>
      </c>
      <c r="B17" s="157">
        <v>120</v>
      </c>
      <c r="C17" s="157">
        <v>130</v>
      </c>
      <c r="D17" s="170" t="s">
        <v>521</v>
      </c>
      <c r="E17" s="157"/>
      <c r="F17" s="157">
        <v>130</v>
      </c>
      <c r="G17" s="171" t="s">
        <v>363</v>
      </c>
      <c r="H17" s="181">
        <f>I17+L17+M17+N17</f>
        <v>59519609.79</v>
      </c>
      <c r="I17" s="181">
        <f>I22+I24+I26+I27+I28+I29+I30+I38+I40+I23+I25+I19+I20+I18+I39+I41</f>
        <v>46600575.79</v>
      </c>
      <c r="J17" s="157" t="s">
        <v>74</v>
      </c>
      <c r="K17" s="157" t="s">
        <v>74</v>
      </c>
      <c r="L17" s="181">
        <f>L18+L20+L22+L26+L28+L30+L31+L32+L33+L34+L35+L36+L37+L38+L40+L42+L45+L46</f>
        <v>0</v>
      </c>
      <c r="M17" s="181">
        <f>M18+M20+M22+M26+M28+M30+M31+M32+M33+M34+M35+M36+M37+M38+M40+M42+M45+M46+M21+M47+M43+M48+M44</f>
        <v>12919034</v>
      </c>
      <c r="N17" s="181">
        <f>N18+N20+N22+N26+N28+N30+N31+N32+N33+N34+N35+N36+N37</f>
        <v>0</v>
      </c>
    </row>
    <row r="18" spans="1:14" s="107" customFormat="1" ht="27.75" customHeight="1">
      <c r="A18" s="124" t="s">
        <v>342</v>
      </c>
      <c r="B18" s="115"/>
      <c r="C18" s="115">
        <v>131</v>
      </c>
      <c r="D18" s="116" t="s">
        <v>522</v>
      </c>
      <c r="E18" s="115"/>
      <c r="F18" s="115">
        <v>131</v>
      </c>
      <c r="G18" s="180" t="s">
        <v>524</v>
      </c>
      <c r="H18" s="125">
        <f aca="true" t="shared" si="0" ref="H18:H48">I18+J18+K18+L18+M18</f>
        <v>983705.2</v>
      </c>
      <c r="I18" s="160">
        <v>983705.2</v>
      </c>
      <c r="J18" s="125">
        <v>0</v>
      </c>
      <c r="K18" s="112"/>
      <c r="L18" s="111"/>
      <c r="M18" s="125">
        <v>0</v>
      </c>
      <c r="N18" s="125"/>
    </row>
    <row r="19" spans="1:14" s="107" customFormat="1" ht="27.75" customHeight="1">
      <c r="A19" s="124" t="s">
        <v>342</v>
      </c>
      <c r="B19" s="115"/>
      <c r="C19" s="115">
        <v>131</v>
      </c>
      <c r="D19" s="116" t="s">
        <v>522</v>
      </c>
      <c r="E19" s="115"/>
      <c r="F19" s="115">
        <v>131</v>
      </c>
      <c r="G19" s="180" t="s">
        <v>525</v>
      </c>
      <c r="H19" s="125">
        <f>I19+J19+K19+L19+M19</f>
        <v>9933442.47</v>
      </c>
      <c r="I19" s="160">
        <f>10917147.67-I18</f>
        <v>9933442.47</v>
      </c>
      <c r="J19" s="125">
        <v>0</v>
      </c>
      <c r="K19" s="112"/>
      <c r="L19" s="111"/>
      <c r="M19" s="125">
        <v>0</v>
      </c>
      <c r="N19" s="125"/>
    </row>
    <row r="20" spans="1:14" s="107" customFormat="1" ht="12" customHeight="1">
      <c r="A20" s="114" t="s">
        <v>343</v>
      </c>
      <c r="B20" s="115"/>
      <c r="C20" s="115">
        <v>131</v>
      </c>
      <c r="D20" s="116" t="s">
        <v>522</v>
      </c>
      <c r="E20" s="115"/>
      <c r="F20" s="115">
        <v>131</v>
      </c>
      <c r="G20" s="180" t="s">
        <v>524</v>
      </c>
      <c r="H20" s="125">
        <f t="shared" si="0"/>
        <v>1538941.79</v>
      </c>
      <c r="I20" s="160">
        <v>1538941.79</v>
      </c>
      <c r="J20" s="125">
        <v>0</v>
      </c>
      <c r="K20" s="112"/>
      <c r="L20" s="111"/>
      <c r="M20" s="125">
        <v>0</v>
      </c>
      <c r="N20" s="125"/>
    </row>
    <row r="21" spans="1:14" s="121" customFormat="1" ht="12" customHeight="1">
      <c r="A21" s="114" t="s">
        <v>343</v>
      </c>
      <c r="B21" s="115"/>
      <c r="C21" s="115">
        <v>131</v>
      </c>
      <c r="D21" s="116" t="s">
        <v>521</v>
      </c>
      <c r="E21" s="115"/>
      <c r="F21" s="115">
        <v>131</v>
      </c>
      <c r="G21" s="117" t="s">
        <v>363</v>
      </c>
      <c r="H21" s="118">
        <f t="shared" si="0"/>
        <v>2710000</v>
      </c>
      <c r="I21" s="118">
        <v>0</v>
      </c>
      <c r="J21" s="118">
        <v>0</v>
      </c>
      <c r="K21" s="119"/>
      <c r="L21" s="123"/>
      <c r="M21" s="159">
        <v>2710000</v>
      </c>
      <c r="N21" s="118"/>
    </row>
    <row r="22" spans="1:14" s="107" customFormat="1" ht="39" customHeight="1">
      <c r="A22" s="484" t="s">
        <v>344</v>
      </c>
      <c r="B22" s="109"/>
      <c r="C22" s="109">
        <v>131</v>
      </c>
      <c r="D22" s="116" t="s">
        <v>522</v>
      </c>
      <c r="E22" s="109"/>
      <c r="F22" s="109">
        <v>131</v>
      </c>
      <c r="G22" s="102" t="s">
        <v>526</v>
      </c>
      <c r="H22" s="125">
        <f t="shared" si="0"/>
        <v>9242511.84</v>
      </c>
      <c r="I22" s="125">
        <f>9242511.84-2306830.51+2306830.51</f>
        <v>9242511.84</v>
      </c>
      <c r="J22" s="125"/>
      <c r="K22" s="112"/>
      <c r="L22" s="111"/>
      <c r="M22" s="125"/>
      <c r="N22" s="125"/>
    </row>
    <row r="23" spans="1:14" s="107" customFormat="1" ht="39" customHeight="1" hidden="1">
      <c r="A23" s="484" t="s">
        <v>344</v>
      </c>
      <c r="B23" s="109"/>
      <c r="C23" s="109">
        <v>131</v>
      </c>
      <c r="D23" s="116" t="s">
        <v>522</v>
      </c>
      <c r="E23" s="109"/>
      <c r="F23" s="109">
        <v>131</v>
      </c>
      <c r="G23" s="102" t="s">
        <v>526</v>
      </c>
      <c r="H23" s="125">
        <f t="shared" si="0"/>
        <v>0</v>
      </c>
      <c r="I23" s="160"/>
      <c r="J23" s="125"/>
      <c r="K23" s="112"/>
      <c r="L23" s="111"/>
      <c r="M23" s="125"/>
      <c r="N23" s="125"/>
    </row>
    <row r="24" spans="1:14" s="107" customFormat="1" ht="39" customHeight="1">
      <c r="A24" s="108" t="s">
        <v>344</v>
      </c>
      <c r="B24" s="109"/>
      <c r="C24" s="109">
        <v>131</v>
      </c>
      <c r="D24" s="116" t="s">
        <v>522</v>
      </c>
      <c r="E24" s="109"/>
      <c r="F24" s="109">
        <v>131</v>
      </c>
      <c r="G24" s="102" t="s">
        <v>527</v>
      </c>
      <c r="H24" s="125">
        <f t="shared" si="0"/>
        <v>2160755</v>
      </c>
      <c r="I24" s="125">
        <f>2160755-476344.28+476344.28</f>
        <v>2160755</v>
      </c>
      <c r="J24" s="125"/>
      <c r="K24" s="112"/>
      <c r="L24" s="111"/>
      <c r="M24" s="125"/>
      <c r="N24" s="125"/>
    </row>
    <row r="25" spans="1:14" s="107" customFormat="1" ht="39" customHeight="1" hidden="1">
      <c r="A25" s="108" t="s">
        <v>344</v>
      </c>
      <c r="B25" s="109"/>
      <c r="C25" s="109">
        <v>131</v>
      </c>
      <c r="D25" s="116" t="s">
        <v>522</v>
      </c>
      <c r="E25" s="109"/>
      <c r="F25" s="109">
        <v>131</v>
      </c>
      <c r="G25" s="102" t="s">
        <v>527</v>
      </c>
      <c r="H25" s="125">
        <f t="shared" si="0"/>
        <v>0</v>
      </c>
      <c r="I25" s="160"/>
      <c r="J25" s="125"/>
      <c r="K25" s="112"/>
      <c r="L25" s="111"/>
      <c r="M25" s="125"/>
      <c r="N25" s="125"/>
    </row>
    <row r="26" spans="1:14" s="107" customFormat="1" ht="40.5" customHeight="1">
      <c r="A26" s="484" t="s">
        <v>345</v>
      </c>
      <c r="B26" s="109"/>
      <c r="C26" s="109">
        <v>131</v>
      </c>
      <c r="D26" s="116" t="s">
        <v>522</v>
      </c>
      <c r="E26" s="109"/>
      <c r="F26" s="109">
        <v>131</v>
      </c>
      <c r="G26" s="102" t="s">
        <v>526</v>
      </c>
      <c r="H26" s="125">
        <f t="shared" si="0"/>
        <v>11154833.07</v>
      </c>
      <c r="I26" s="125">
        <f>12754448.31-I27</f>
        <v>11154833.07</v>
      </c>
      <c r="J26" s="125"/>
      <c r="K26" s="112"/>
      <c r="L26" s="111"/>
      <c r="M26" s="125"/>
      <c r="N26" s="125"/>
    </row>
    <row r="27" spans="1:14" s="107" customFormat="1" ht="41.25" customHeight="1">
      <c r="A27" s="108" t="s">
        <v>345</v>
      </c>
      <c r="B27" s="109"/>
      <c r="C27" s="109">
        <v>131</v>
      </c>
      <c r="D27" s="116" t="s">
        <v>522</v>
      </c>
      <c r="E27" s="109"/>
      <c r="F27" s="109">
        <v>131</v>
      </c>
      <c r="G27" s="102" t="s">
        <v>527</v>
      </c>
      <c r="H27" s="125">
        <f>I27+J27+K27+L27+M27</f>
        <v>1599615.24</v>
      </c>
      <c r="I27" s="125">
        <v>1599615.24</v>
      </c>
      <c r="J27" s="125"/>
      <c r="K27" s="112"/>
      <c r="L27" s="111"/>
      <c r="M27" s="125"/>
      <c r="N27" s="125"/>
    </row>
    <row r="28" spans="1:14" s="107" customFormat="1" ht="41.25" customHeight="1">
      <c r="A28" s="108" t="s">
        <v>346</v>
      </c>
      <c r="B28" s="109"/>
      <c r="C28" s="109">
        <v>131</v>
      </c>
      <c r="D28" s="116" t="s">
        <v>522</v>
      </c>
      <c r="E28" s="109"/>
      <c r="F28" s="109">
        <v>131</v>
      </c>
      <c r="G28" s="102" t="s">
        <v>526</v>
      </c>
      <c r="H28" s="125">
        <f t="shared" si="0"/>
        <v>3993904.2</v>
      </c>
      <c r="I28" s="125">
        <f>4535670.21-I29</f>
        <v>3993904.2</v>
      </c>
      <c r="J28" s="125"/>
      <c r="K28" s="112"/>
      <c r="L28" s="111"/>
      <c r="M28" s="125"/>
      <c r="N28" s="125"/>
    </row>
    <row r="29" spans="1:14" s="107" customFormat="1" ht="37.5" customHeight="1">
      <c r="A29" s="108" t="s">
        <v>346</v>
      </c>
      <c r="B29" s="109"/>
      <c r="C29" s="109">
        <v>131</v>
      </c>
      <c r="D29" s="116" t="s">
        <v>522</v>
      </c>
      <c r="E29" s="109"/>
      <c r="F29" s="109">
        <v>131</v>
      </c>
      <c r="G29" s="102" t="s">
        <v>527</v>
      </c>
      <c r="H29" s="125">
        <f>I29+J29+K29+L29+M29</f>
        <v>541766.01</v>
      </c>
      <c r="I29" s="125">
        <v>541766.01</v>
      </c>
      <c r="J29" s="125"/>
      <c r="K29" s="112"/>
      <c r="L29" s="111"/>
      <c r="M29" s="125"/>
      <c r="N29" s="125"/>
    </row>
    <row r="30" spans="1:14" s="107" customFormat="1" ht="12" customHeight="1">
      <c r="A30" s="108" t="s">
        <v>798</v>
      </c>
      <c r="B30" s="109"/>
      <c r="C30" s="109">
        <v>131</v>
      </c>
      <c r="D30" s="116" t="s">
        <v>522</v>
      </c>
      <c r="E30" s="109"/>
      <c r="F30" s="109">
        <v>131</v>
      </c>
      <c r="G30" s="81" t="s">
        <v>470</v>
      </c>
      <c r="H30" s="125">
        <f t="shared" si="0"/>
        <v>312180</v>
      </c>
      <c r="I30" s="125">
        <v>312180</v>
      </c>
      <c r="J30" s="125"/>
      <c r="K30" s="112"/>
      <c r="L30" s="111"/>
      <c r="M30" s="125"/>
      <c r="N30" s="125"/>
    </row>
    <row r="31" spans="1:14" s="107" customFormat="1" ht="27.75" customHeight="1">
      <c r="A31" s="126" t="s">
        <v>517</v>
      </c>
      <c r="B31" s="109"/>
      <c r="C31" s="109">
        <v>131</v>
      </c>
      <c r="D31" s="116" t="s">
        <v>522</v>
      </c>
      <c r="E31" s="109"/>
      <c r="F31" s="109">
        <v>131</v>
      </c>
      <c r="G31" s="110"/>
      <c r="H31" s="125">
        <f t="shared" si="0"/>
        <v>0</v>
      </c>
      <c r="I31" s="125">
        <v>0</v>
      </c>
      <c r="J31" s="125"/>
      <c r="K31" s="112"/>
      <c r="L31" s="111"/>
      <c r="M31" s="125"/>
      <c r="N31" s="125"/>
    </row>
    <row r="32" spans="1:14" s="107" customFormat="1" ht="76.5">
      <c r="A32" s="108" t="s">
        <v>348</v>
      </c>
      <c r="B32" s="109"/>
      <c r="C32" s="109">
        <v>131</v>
      </c>
      <c r="D32" s="116" t="s">
        <v>522</v>
      </c>
      <c r="E32" s="109"/>
      <c r="F32" s="109">
        <v>131</v>
      </c>
      <c r="G32" s="110"/>
      <c r="H32" s="125">
        <f t="shared" si="0"/>
        <v>0</v>
      </c>
      <c r="I32" s="125">
        <v>0</v>
      </c>
      <c r="J32" s="125"/>
      <c r="K32" s="112"/>
      <c r="L32" s="111"/>
      <c r="M32" s="125"/>
      <c r="N32" s="125"/>
    </row>
    <row r="33" spans="1:14" s="107" customFormat="1" ht="51">
      <c r="A33" s="114" t="s">
        <v>349</v>
      </c>
      <c r="B33" s="115"/>
      <c r="C33" s="115">
        <v>131</v>
      </c>
      <c r="D33" s="116" t="s">
        <v>522</v>
      </c>
      <c r="E33" s="115"/>
      <c r="F33" s="115">
        <v>131</v>
      </c>
      <c r="G33" s="122"/>
      <c r="H33" s="118">
        <f t="shared" si="0"/>
        <v>0</v>
      </c>
      <c r="I33" s="125">
        <v>0</v>
      </c>
      <c r="J33" s="125"/>
      <c r="K33" s="112"/>
      <c r="L33" s="111"/>
      <c r="M33" s="125"/>
      <c r="N33" s="125"/>
    </row>
    <row r="34" spans="1:14" s="107" customFormat="1" ht="51">
      <c r="A34" s="127" t="s">
        <v>350</v>
      </c>
      <c r="B34" s="115"/>
      <c r="C34" s="115">
        <v>131</v>
      </c>
      <c r="D34" s="116" t="s">
        <v>522</v>
      </c>
      <c r="E34" s="115"/>
      <c r="F34" s="115">
        <v>131</v>
      </c>
      <c r="G34" s="122"/>
      <c r="H34" s="118">
        <f t="shared" si="0"/>
        <v>0</v>
      </c>
      <c r="I34" s="125">
        <v>0</v>
      </c>
      <c r="J34" s="125"/>
      <c r="K34" s="112"/>
      <c r="L34" s="111"/>
      <c r="M34" s="125"/>
      <c r="N34" s="125"/>
    </row>
    <row r="35" spans="1:14" s="107" customFormat="1" ht="43.5" customHeight="1">
      <c r="A35" s="114" t="s">
        <v>351</v>
      </c>
      <c r="B35" s="115"/>
      <c r="C35" s="115">
        <v>131</v>
      </c>
      <c r="D35" s="116" t="s">
        <v>522</v>
      </c>
      <c r="E35" s="115"/>
      <c r="F35" s="115">
        <v>131</v>
      </c>
      <c r="G35" s="122"/>
      <c r="H35" s="118">
        <f t="shared" si="0"/>
        <v>0</v>
      </c>
      <c r="I35" s="125">
        <v>0</v>
      </c>
      <c r="J35" s="125"/>
      <c r="K35" s="112"/>
      <c r="L35" s="111"/>
      <c r="M35" s="125"/>
      <c r="N35" s="125"/>
    </row>
    <row r="36" spans="1:14" s="107" customFormat="1" ht="33" customHeight="1">
      <c r="A36" s="114" t="s">
        <v>352</v>
      </c>
      <c r="B36" s="115"/>
      <c r="C36" s="115">
        <v>131</v>
      </c>
      <c r="D36" s="116" t="s">
        <v>522</v>
      </c>
      <c r="E36" s="115"/>
      <c r="F36" s="115">
        <v>131</v>
      </c>
      <c r="G36" s="122"/>
      <c r="H36" s="118">
        <f t="shared" si="0"/>
        <v>0</v>
      </c>
      <c r="I36" s="125">
        <v>0</v>
      </c>
      <c r="J36" s="125"/>
      <c r="K36" s="112"/>
      <c r="L36" s="111"/>
      <c r="M36" s="125"/>
      <c r="N36" s="125"/>
    </row>
    <row r="37" spans="1:14" s="107" customFormat="1" ht="33.75" customHeight="1">
      <c r="A37" s="114" t="s">
        <v>353</v>
      </c>
      <c r="B37" s="115"/>
      <c r="C37" s="115">
        <v>131</v>
      </c>
      <c r="D37" s="116" t="s">
        <v>522</v>
      </c>
      <c r="E37" s="115"/>
      <c r="F37" s="115">
        <v>131</v>
      </c>
      <c r="G37" s="122"/>
      <c r="H37" s="118">
        <f t="shared" si="0"/>
        <v>0</v>
      </c>
      <c r="I37" s="125">
        <v>0</v>
      </c>
      <c r="J37" s="125"/>
      <c r="K37" s="112"/>
      <c r="L37" s="111"/>
      <c r="M37" s="125"/>
      <c r="N37" s="125"/>
    </row>
    <row r="38" spans="1:14" s="107" customFormat="1" ht="25.5">
      <c r="A38" s="114" t="s">
        <v>51</v>
      </c>
      <c r="B38" s="115"/>
      <c r="C38" s="115">
        <v>131</v>
      </c>
      <c r="D38" s="116" t="s">
        <v>522</v>
      </c>
      <c r="E38" s="115"/>
      <c r="F38" s="115">
        <v>131</v>
      </c>
      <c r="G38" s="102" t="s">
        <v>527</v>
      </c>
      <c r="H38" s="118">
        <f t="shared" si="0"/>
        <v>1097033.97</v>
      </c>
      <c r="I38" s="125">
        <f>805176-15436.03+307294</f>
        <v>1097033.97</v>
      </c>
      <c r="J38" s="125"/>
      <c r="K38" s="112"/>
      <c r="L38" s="111"/>
      <c r="M38" s="125"/>
      <c r="N38" s="125"/>
    </row>
    <row r="39" spans="1:14" s="107" customFormat="1" ht="25.5" hidden="1">
      <c r="A39" s="114" t="s">
        <v>51</v>
      </c>
      <c r="B39" s="115"/>
      <c r="C39" s="115">
        <v>131</v>
      </c>
      <c r="D39" s="116" t="s">
        <v>522</v>
      </c>
      <c r="E39" s="115"/>
      <c r="F39" s="115">
        <v>131</v>
      </c>
      <c r="G39" s="102" t="s">
        <v>527</v>
      </c>
      <c r="H39" s="118">
        <f t="shared" si="0"/>
        <v>0</v>
      </c>
      <c r="I39" s="486"/>
      <c r="J39" s="125"/>
      <c r="K39" s="112"/>
      <c r="L39" s="111"/>
      <c r="M39" s="125"/>
      <c r="N39" s="125"/>
    </row>
    <row r="40" spans="1:14" s="107" customFormat="1" ht="15.75" customHeight="1">
      <c r="A40" s="114" t="s">
        <v>52</v>
      </c>
      <c r="B40" s="115"/>
      <c r="C40" s="115">
        <v>131</v>
      </c>
      <c r="D40" s="116" t="s">
        <v>522</v>
      </c>
      <c r="E40" s="115"/>
      <c r="F40" s="115">
        <v>131</v>
      </c>
      <c r="G40" s="102" t="s">
        <v>527</v>
      </c>
      <c r="H40" s="118">
        <f t="shared" si="0"/>
        <v>4041887</v>
      </c>
      <c r="I40" s="125">
        <f>2959713+1082174</f>
        <v>4041887</v>
      </c>
      <c r="J40" s="125"/>
      <c r="K40" s="112"/>
      <c r="L40" s="111"/>
      <c r="M40" s="125"/>
      <c r="N40" s="125"/>
    </row>
    <row r="41" spans="1:14" s="107" customFormat="1" ht="15.75" customHeight="1" hidden="1">
      <c r="A41" s="114" t="s">
        <v>52</v>
      </c>
      <c r="B41" s="115"/>
      <c r="C41" s="115">
        <v>131</v>
      </c>
      <c r="D41" s="116" t="s">
        <v>522</v>
      </c>
      <c r="E41" s="115"/>
      <c r="F41" s="115">
        <v>131</v>
      </c>
      <c r="G41" s="102" t="s">
        <v>527</v>
      </c>
      <c r="H41" s="118">
        <f t="shared" si="0"/>
        <v>0</v>
      </c>
      <c r="I41" s="160"/>
      <c r="J41" s="125"/>
      <c r="K41" s="112"/>
      <c r="L41" s="111"/>
      <c r="M41" s="125"/>
      <c r="N41" s="125"/>
    </row>
    <row r="42" spans="1:14" s="128" customFormat="1" ht="15.75" customHeight="1">
      <c r="A42" s="114" t="s">
        <v>46</v>
      </c>
      <c r="B42" s="115"/>
      <c r="C42" s="115">
        <v>131</v>
      </c>
      <c r="D42" s="116" t="s">
        <v>521</v>
      </c>
      <c r="E42" s="115"/>
      <c r="F42" s="115">
        <v>131</v>
      </c>
      <c r="G42" s="117" t="s">
        <v>363</v>
      </c>
      <c r="H42" s="118">
        <f t="shared" si="0"/>
        <v>7945034</v>
      </c>
      <c r="I42" s="118"/>
      <c r="J42" s="118"/>
      <c r="K42" s="119"/>
      <c r="L42" s="123"/>
      <c r="M42" s="118">
        <f>5661000+1441000+692000+50000+62140-11106+50000</f>
        <v>7945034</v>
      </c>
      <c r="N42" s="118"/>
    </row>
    <row r="43" spans="1:14" s="128" customFormat="1" ht="15.75" customHeight="1" hidden="1">
      <c r="A43" s="114" t="s">
        <v>46</v>
      </c>
      <c r="B43" s="115"/>
      <c r="C43" s="115">
        <v>131</v>
      </c>
      <c r="D43" s="116" t="s">
        <v>521</v>
      </c>
      <c r="E43" s="115"/>
      <c r="F43" s="115">
        <v>131</v>
      </c>
      <c r="G43" s="117" t="s">
        <v>363</v>
      </c>
      <c r="H43" s="118">
        <f>I43+J43+K43+L43+M43</f>
        <v>0</v>
      </c>
      <c r="I43" s="118"/>
      <c r="J43" s="118"/>
      <c r="K43" s="119"/>
      <c r="L43" s="123"/>
      <c r="M43" s="159"/>
      <c r="N43" s="118"/>
    </row>
    <row r="44" spans="1:14" s="128" customFormat="1" ht="15.75" customHeight="1" hidden="1">
      <c r="A44" s="114" t="s">
        <v>48</v>
      </c>
      <c r="B44" s="115"/>
      <c r="C44" s="115">
        <v>131</v>
      </c>
      <c r="D44" s="116" t="s">
        <v>521</v>
      </c>
      <c r="E44" s="115"/>
      <c r="F44" s="115">
        <v>131</v>
      </c>
      <c r="G44" s="117" t="s">
        <v>363</v>
      </c>
      <c r="H44" s="118">
        <f>I44+J44+K44+L44+M44</f>
        <v>0</v>
      </c>
      <c r="I44" s="118"/>
      <c r="J44" s="118"/>
      <c r="K44" s="119"/>
      <c r="L44" s="123"/>
      <c r="M44" s="159"/>
      <c r="N44" s="118"/>
    </row>
    <row r="45" spans="1:14" s="128" customFormat="1" ht="15.75" customHeight="1">
      <c r="A45" s="114" t="s">
        <v>48</v>
      </c>
      <c r="B45" s="115"/>
      <c r="C45" s="115">
        <v>131</v>
      </c>
      <c r="D45" s="116" t="s">
        <v>521</v>
      </c>
      <c r="E45" s="115"/>
      <c r="F45" s="115">
        <v>131</v>
      </c>
      <c r="G45" s="117" t="s">
        <v>363</v>
      </c>
      <c r="H45" s="118">
        <f>I45+J45+K45+L45+M45</f>
        <v>1900000</v>
      </c>
      <c r="I45" s="118"/>
      <c r="J45" s="118"/>
      <c r="K45" s="119"/>
      <c r="L45" s="123"/>
      <c r="M45" s="159">
        <f>1770000+120000+10000</f>
        <v>1900000</v>
      </c>
      <c r="N45" s="118"/>
    </row>
    <row r="46" spans="1:14" s="128" customFormat="1" ht="15.75" customHeight="1">
      <c r="A46" s="114" t="s">
        <v>368</v>
      </c>
      <c r="B46" s="115"/>
      <c r="C46" s="115">
        <v>134</v>
      </c>
      <c r="D46" s="116" t="s">
        <v>521</v>
      </c>
      <c r="E46" s="115"/>
      <c r="F46" s="115">
        <v>134</v>
      </c>
      <c r="G46" s="117" t="s">
        <v>363</v>
      </c>
      <c r="H46" s="118">
        <f t="shared" si="0"/>
        <v>0</v>
      </c>
      <c r="I46" s="118"/>
      <c r="J46" s="118"/>
      <c r="K46" s="119"/>
      <c r="L46" s="123"/>
      <c r="M46" s="118"/>
      <c r="N46" s="118"/>
    </row>
    <row r="47" spans="1:14" s="128" customFormat="1" ht="21.75" customHeight="1">
      <c r="A47" s="114" t="s">
        <v>47</v>
      </c>
      <c r="B47" s="115"/>
      <c r="C47" s="115">
        <v>135</v>
      </c>
      <c r="D47" s="116" t="s">
        <v>521</v>
      </c>
      <c r="E47" s="115"/>
      <c r="F47" s="115">
        <v>135</v>
      </c>
      <c r="G47" s="117" t="s">
        <v>363</v>
      </c>
      <c r="H47" s="118">
        <f t="shared" si="0"/>
        <v>364000</v>
      </c>
      <c r="I47" s="118"/>
      <c r="J47" s="118"/>
      <c r="K47" s="119"/>
      <c r="L47" s="123"/>
      <c r="M47" s="118">
        <f>357000+7000</f>
        <v>364000</v>
      </c>
      <c r="N47" s="118"/>
    </row>
    <row r="48" spans="1:14" s="128" customFormat="1" ht="21.75" customHeight="1">
      <c r="A48" s="114" t="s">
        <v>47</v>
      </c>
      <c r="B48" s="487"/>
      <c r="C48" s="489">
        <v>135</v>
      </c>
      <c r="D48" s="488" t="s">
        <v>521</v>
      </c>
      <c r="E48" s="489"/>
      <c r="F48" s="489">
        <v>135</v>
      </c>
      <c r="G48" s="492" t="s">
        <v>363</v>
      </c>
      <c r="H48" s="491">
        <f t="shared" si="0"/>
        <v>0</v>
      </c>
      <c r="I48" s="491">
        <v>0</v>
      </c>
      <c r="J48" s="491">
        <v>0</v>
      </c>
      <c r="K48" s="507">
        <v>0</v>
      </c>
      <c r="L48" s="508">
        <v>0</v>
      </c>
      <c r="M48" s="495"/>
      <c r="N48" s="118"/>
    </row>
    <row r="49" spans="1:14" s="134" customFormat="1" ht="27.75" customHeight="1">
      <c r="A49" s="129" t="s">
        <v>432</v>
      </c>
      <c r="B49" s="130">
        <v>130</v>
      </c>
      <c r="C49" s="130">
        <v>140</v>
      </c>
      <c r="D49" s="116" t="s">
        <v>521</v>
      </c>
      <c r="E49" s="130"/>
      <c r="F49" s="130">
        <v>140</v>
      </c>
      <c r="G49" s="131" t="s">
        <v>363</v>
      </c>
      <c r="H49" s="132">
        <f>M49</f>
        <v>0</v>
      </c>
      <c r="I49" s="130" t="s">
        <v>74</v>
      </c>
      <c r="J49" s="130" t="s">
        <v>74</v>
      </c>
      <c r="K49" s="130" t="s">
        <v>74</v>
      </c>
      <c r="L49" s="130" t="s">
        <v>74</v>
      </c>
      <c r="M49" s="133">
        <f>M51+M52+M53+M54+M55</f>
        <v>0</v>
      </c>
      <c r="N49" s="130" t="s">
        <v>74</v>
      </c>
    </row>
    <row r="50" spans="1:14" s="128" customFormat="1" ht="12.75">
      <c r="A50" s="114" t="s">
        <v>364</v>
      </c>
      <c r="B50" s="115"/>
      <c r="C50" s="115"/>
      <c r="D50" s="116"/>
      <c r="E50" s="115"/>
      <c r="F50" s="115"/>
      <c r="G50" s="122"/>
      <c r="H50" s="118"/>
      <c r="I50" s="122"/>
      <c r="J50" s="115"/>
      <c r="K50" s="119"/>
      <c r="L50" s="123"/>
      <c r="M50" s="118"/>
      <c r="N50" s="123"/>
    </row>
    <row r="51" spans="1:14" s="128" customFormat="1" ht="38.25">
      <c r="A51" s="114" t="s">
        <v>369</v>
      </c>
      <c r="B51" s="115"/>
      <c r="C51" s="115">
        <v>141</v>
      </c>
      <c r="D51" s="116" t="s">
        <v>521</v>
      </c>
      <c r="E51" s="115"/>
      <c r="F51" s="115">
        <v>141</v>
      </c>
      <c r="G51" s="117" t="s">
        <v>363</v>
      </c>
      <c r="H51" s="118">
        <f>I51+J51+K51+L51+M51</f>
        <v>0</v>
      </c>
      <c r="I51" s="122"/>
      <c r="J51" s="115"/>
      <c r="K51" s="119"/>
      <c r="L51" s="123"/>
      <c r="M51" s="118"/>
      <c r="N51" s="123"/>
    </row>
    <row r="52" spans="1:14" s="128" customFormat="1" ht="25.5">
      <c r="A52" s="114" t="s">
        <v>370</v>
      </c>
      <c r="B52" s="115"/>
      <c r="C52" s="115">
        <v>142</v>
      </c>
      <c r="D52" s="116" t="s">
        <v>521</v>
      </c>
      <c r="E52" s="115"/>
      <c r="F52" s="115">
        <v>142</v>
      </c>
      <c r="G52" s="117" t="s">
        <v>363</v>
      </c>
      <c r="H52" s="118">
        <f>I52+J52+K52+L52+M52</f>
        <v>0</v>
      </c>
      <c r="I52" s="122"/>
      <c r="J52" s="115"/>
      <c r="K52" s="119"/>
      <c r="L52" s="123"/>
      <c r="M52" s="118"/>
      <c r="N52" s="123"/>
    </row>
    <row r="53" spans="1:14" s="128" customFormat="1" ht="15" customHeight="1">
      <c r="A53" s="114" t="s">
        <v>371</v>
      </c>
      <c r="B53" s="115"/>
      <c r="C53" s="115">
        <v>143</v>
      </c>
      <c r="D53" s="116" t="s">
        <v>521</v>
      </c>
      <c r="E53" s="115"/>
      <c r="F53" s="115">
        <v>143</v>
      </c>
      <c r="G53" s="117" t="s">
        <v>363</v>
      </c>
      <c r="H53" s="118">
        <f>I53+J53+K53+L53+M53</f>
        <v>0</v>
      </c>
      <c r="I53" s="122"/>
      <c r="J53" s="115"/>
      <c r="K53" s="119"/>
      <c r="L53" s="123"/>
      <c r="M53" s="118"/>
      <c r="N53" s="123"/>
    </row>
    <row r="54" spans="1:14" s="128" customFormat="1" ht="15" customHeight="1">
      <c r="A54" s="114" t="s">
        <v>372</v>
      </c>
      <c r="B54" s="115"/>
      <c r="C54" s="115">
        <v>144</v>
      </c>
      <c r="D54" s="116" t="s">
        <v>521</v>
      </c>
      <c r="E54" s="115"/>
      <c r="F54" s="115">
        <v>144</v>
      </c>
      <c r="G54" s="117" t="s">
        <v>363</v>
      </c>
      <c r="H54" s="118">
        <f>I54+J54+K54+L54+M54</f>
        <v>0</v>
      </c>
      <c r="I54" s="122"/>
      <c r="J54" s="115"/>
      <c r="K54" s="119"/>
      <c r="L54" s="123"/>
      <c r="M54" s="118"/>
      <c r="N54" s="123"/>
    </row>
    <row r="55" spans="1:14" s="128" customFormat="1" ht="15" customHeight="1">
      <c r="A55" s="114" t="s">
        <v>373</v>
      </c>
      <c r="B55" s="115"/>
      <c r="C55" s="115">
        <v>145</v>
      </c>
      <c r="D55" s="116" t="s">
        <v>521</v>
      </c>
      <c r="E55" s="115"/>
      <c r="F55" s="115">
        <v>145</v>
      </c>
      <c r="G55" s="117" t="s">
        <v>363</v>
      </c>
      <c r="H55" s="118">
        <f>I55+J55+K55+L55+M55</f>
        <v>0</v>
      </c>
      <c r="I55" s="122"/>
      <c r="J55" s="115"/>
      <c r="K55" s="119"/>
      <c r="L55" s="123"/>
      <c r="M55" s="118"/>
      <c r="N55" s="123"/>
    </row>
    <row r="56" spans="1:14" s="107" customFormat="1" ht="47.25" customHeight="1">
      <c r="A56" s="114" t="s">
        <v>49</v>
      </c>
      <c r="B56" s="115">
        <v>140</v>
      </c>
      <c r="C56" s="115"/>
      <c r="D56" s="116" t="s">
        <v>521</v>
      </c>
      <c r="E56" s="115"/>
      <c r="F56" s="115"/>
      <c r="G56" s="122"/>
      <c r="H56" s="118">
        <f>M56</f>
        <v>0</v>
      </c>
      <c r="I56" s="109" t="s">
        <v>74</v>
      </c>
      <c r="J56" s="109" t="s">
        <v>74</v>
      </c>
      <c r="K56" s="109" t="s">
        <v>74</v>
      </c>
      <c r="L56" s="109" t="s">
        <v>74</v>
      </c>
      <c r="M56" s="109"/>
      <c r="N56" s="109" t="s">
        <v>74</v>
      </c>
    </row>
    <row r="57" spans="1:14" s="168" customFormat="1" ht="33" customHeight="1">
      <c r="A57" s="169" t="s">
        <v>167</v>
      </c>
      <c r="B57" s="157">
        <v>150</v>
      </c>
      <c r="C57" s="157">
        <v>150</v>
      </c>
      <c r="D57" s="157">
        <v>901000000</v>
      </c>
      <c r="E57" s="157"/>
      <c r="F57" s="157">
        <v>150</v>
      </c>
      <c r="G57" s="158"/>
      <c r="H57" s="181">
        <f aca="true" t="shared" si="1" ref="H57:H84">J57+K57</f>
        <v>6020660.31</v>
      </c>
      <c r="I57" s="174" t="s">
        <v>74</v>
      </c>
      <c r="J57" s="175">
        <f>SUM(J58:L83)</f>
        <v>6020660.31</v>
      </c>
      <c r="K57" s="174">
        <f>K59</f>
        <v>0</v>
      </c>
      <c r="L57" s="174" t="s">
        <v>74</v>
      </c>
      <c r="M57" s="174" t="s">
        <v>74</v>
      </c>
      <c r="N57" s="174" t="s">
        <v>74</v>
      </c>
    </row>
    <row r="58" spans="1:14" s="168" customFormat="1" ht="25.5">
      <c r="A58" s="114" t="s">
        <v>167</v>
      </c>
      <c r="B58" s="115">
        <v>150</v>
      </c>
      <c r="C58" s="115">
        <v>152</v>
      </c>
      <c r="D58" s="115">
        <v>901010000</v>
      </c>
      <c r="E58" s="115"/>
      <c r="F58" s="115">
        <v>152</v>
      </c>
      <c r="G58" s="122">
        <v>91600000000</v>
      </c>
      <c r="H58" s="181"/>
      <c r="I58" s="125"/>
      <c r="J58" s="125">
        <v>10000</v>
      </c>
      <c r="K58" s="174"/>
      <c r="L58" s="174"/>
      <c r="M58" s="109" t="s">
        <v>74</v>
      </c>
      <c r="N58" s="109" t="s">
        <v>74</v>
      </c>
    </row>
    <row r="59" spans="1:14" s="107" customFormat="1" ht="23.25" customHeight="1">
      <c r="A59" s="114" t="s">
        <v>167</v>
      </c>
      <c r="B59" s="115">
        <v>150</v>
      </c>
      <c r="C59" s="115">
        <v>152</v>
      </c>
      <c r="D59" s="115">
        <v>901480000</v>
      </c>
      <c r="E59" s="115"/>
      <c r="F59" s="115">
        <v>152</v>
      </c>
      <c r="G59" s="122" t="s">
        <v>526</v>
      </c>
      <c r="H59" s="118">
        <f t="shared" si="1"/>
        <v>2246150</v>
      </c>
      <c r="I59" s="109"/>
      <c r="J59" s="125">
        <f>1781767+364383+100000</f>
        <v>2246150</v>
      </c>
      <c r="K59" s="112"/>
      <c r="L59" s="109" t="s">
        <v>74</v>
      </c>
      <c r="M59" s="109" t="s">
        <v>74</v>
      </c>
      <c r="N59" s="109" t="s">
        <v>74</v>
      </c>
    </row>
    <row r="60" spans="1:14" s="107" customFormat="1" ht="23.25" customHeight="1">
      <c r="A60" s="114" t="s">
        <v>167</v>
      </c>
      <c r="B60" s="115">
        <v>150</v>
      </c>
      <c r="C60" s="115">
        <v>152</v>
      </c>
      <c r="D60" s="115">
        <v>901160000</v>
      </c>
      <c r="E60" s="115"/>
      <c r="F60" s="115">
        <v>152</v>
      </c>
      <c r="G60" s="122" t="s">
        <v>526</v>
      </c>
      <c r="H60" s="118">
        <f t="shared" si="1"/>
        <v>1073719</v>
      </c>
      <c r="I60" s="109"/>
      <c r="J60" s="125">
        <f>949644+124075</f>
        <v>1073719</v>
      </c>
      <c r="K60" s="112"/>
      <c r="L60" s="109" t="s">
        <v>74</v>
      </c>
      <c r="M60" s="109" t="s">
        <v>74</v>
      </c>
      <c r="N60" s="109" t="s">
        <v>74</v>
      </c>
    </row>
    <row r="61" spans="1:14" s="107" customFormat="1" ht="23.25" customHeight="1">
      <c r="A61" s="114" t="s">
        <v>167</v>
      </c>
      <c r="B61" s="115">
        <v>150</v>
      </c>
      <c r="C61" s="115">
        <v>152</v>
      </c>
      <c r="D61" s="115">
        <v>901830000</v>
      </c>
      <c r="E61" s="115"/>
      <c r="F61" s="115">
        <v>152</v>
      </c>
      <c r="G61" s="122" t="s">
        <v>526</v>
      </c>
      <c r="H61" s="118">
        <f t="shared" si="1"/>
        <v>597147.9400000001</v>
      </c>
      <c r="I61" s="109"/>
      <c r="J61" s="125">
        <f>532435.56+64712.38</f>
        <v>597147.9400000001</v>
      </c>
      <c r="K61" s="112"/>
      <c r="L61" s="109" t="s">
        <v>74</v>
      </c>
      <c r="M61" s="109" t="s">
        <v>74</v>
      </c>
      <c r="N61" s="109" t="s">
        <v>74</v>
      </c>
    </row>
    <row r="62" spans="1:14" s="107" customFormat="1" ht="23.25" customHeight="1">
      <c r="A62" s="114" t="s">
        <v>167</v>
      </c>
      <c r="B62" s="115">
        <v>150</v>
      </c>
      <c r="C62" s="115">
        <v>152</v>
      </c>
      <c r="D62" s="115">
        <v>901210000</v>
      </c>
      <c r="E62" s="115"/>
      <c r="F62" s="115">
        <v>152</v>
      </c>
      <c r="G62" s="117" t="s">
        <v>528</v>
      </c>
      <c r="H62" s="118">
        <f t="shared" si="1"/>
        <v>982310</v>
      </c>
      <c r="I62" s="109"/>
      <c r="J62" s="125">
        <f>876777+105533</f>
        <v>982310</v>
      </c>
      <c r="K62" s="112"/>
      <c r="L62" s="109" t="s">
        <v>74</v>
      </c>
      <c r="M62" s="109" t="s">
        <v>74</v>
      </c>
      <c r="N62" s="109" t="s">
        <v>74</v>
      </c>
    </row>
    <row r="63" spans="1:14" s="107" customFormat="1" ht="23.25" customHeight="1">
      <c r="A63" s="114" t="s">
        <v>167</v>
      </c>
      <c r="B63" s="115">
        <v>150</v>
      </c>
      <c r="C63" s="115">
        <v>152</v>
      </c>
      <c r="D63" s="115">
        <v>901150000</v>
      </c>
      <c r="E63" s="115"/>
      <c r="F63" s="115">
        <v>152</v>
      </c>
      <c r="G63" s="122" t="s">
        <v>526</v>
      </c>
      <c r="H63" s="118">
        <f t="shared" si="1"/>
        <v>464088</v>
      </c>
      <c r="I63" s="109"/>
      <c r="J63" s="125">
        <f>396173+67915</f>
        <v>464088</v>
      </c>
      <c r="K63" s="112"/>
      <c r="L63" s="109" t="s">
        <v>74</v>
      </c>
      <c r="M63" s="109" t="s">
        <v>74</v>
      </c>
      <c r="N63" s="109" t="s">
        <v>74</v>
      </c>
    </row>
    <row r="64" spans="1:14" s="107" customFormat="1" ht="23.25" customHeight="1">
      <c r="A64" s="114" t="s">
        <v>167</v>
      </c>
      <c r="B64" s="115">
        <v>150</v>
      </c>
      <c r="C64" s="115">
        <v>152</v>
      </c>
      <c r="D64" s="115">
        <v>901170000</v>
      </c>
      <c r="E64" s="115"/>
      <c r="F64" s="115">
        <v>152</v>
      </c>
      <c r="G64" s="122" t="s">
        <v>538</v>
      </c>
      <c r="H64" s="118">
        <f>J64+K64</f>
        <v>90000</v>
      </c>
      <c r="I64" s="109"/>
      <c r="J64" s="125">
        <v>90000</v>
      </c>
      <c r="K64" s="112"/>
      <c r="L64" s="109" t="s">
        <v>74</v>
      </c>
      <c r="M64" s="109" t="s">
        <v>74</v>
      </c>
      <c r="N64" s="109" t="s">
        <v>74</v>
      </c>
    </row>
    <row r="65" spans="1:14" s="107" customFormat="1" ht="23.25" customHeight="1">
      <c r="A65" s="114" t="s">
        <v>167</v>
      </c>
      <c r="B65" s="115">
        <v>150</v>
      </c>
      <c r="C65" s="115">
        <v>152</v>
      </c>
      <c r="D65" s="115">
        <v>901140000</v>
      </c>
      <c r="E65" s="115"/>
      <c r="F65" s="115">
        <v>152</v>
      </c>
      <c r="G65" s="122" t="s">
        <v>526</v>
      </c>
      <c r="H65" s="118">
        <f t="shared" si="1"/>
        <v>225466</v>
      </c>
      <c r="I65" s="109"/>
      <c r="J65" s="125">
        <f>155008+13862+56596</f>
        <v>225466</v>
      </c>
      <c r="K65" s="112"/>
      <c r="L65" s="109" t="s">
        <v>74</v>
      </c>
      <c r="M65" s="109" t="s">
        <v>74</v>
      </c>
      <c r="N65" s="109" t="s">
        <v>74</v>
      </c>
    </row>
    <row r="66" spans="1:14" s="107" customFormat="1" ht="23.25" customHeight="1">
      <c r="A66" s="114" t="s">
        <v>167</v>
      </c>
      <c r="B66" s="115">
        <v>150</v>
      </c>
      <c r="C66" s="115">
        <v>152</v>
      </c>
      <c r="D66" s="115">
        <v>901030000</v>
      </c>
      <c r="E66" s="115"/>
      <c r="F66" s="115">
        <v>152</v>
      </c>
      <c r="G66" s="500" t="s">
        <v>837</v>
      </c>
      <c r="H66" s="118">
        <f t="shared" si="1"/>
        <v>18079.2</v>
      </c>
      <c r="I66" s="109"/>
      <c r="J66" s="125">
        <f>2*9039.6</f>
        <v>18079.2</v>
      </c>
      <c r="K66" s="112"/>
      <c r="L66" s="109"/>
      <c r="M66" s="110"/>
      <c r="N66" s="110"/>
    </row>
    <row r="67" spans="1:14" s="107" customFormat="1" ht="23.25" customHeight="1">
      <c r="A67" s="114" t="s">
        <v>167</v>
      </c>
      <c r="B67" s="115">
        <v>150</v>
      </c>
      <c r="C67" s="115">
        <v>152</v>
      </c>
      <c r="D67" s="115">
        <v>901490000</v>
      </c>
      <c r="E67" s="115"/>
      <c r="F67" s="115">
        <v>152</v>
      </c>
      <c r="G67" s="500" t="s">
        <v>839</v>
      </c>
      <c r="H67" s="118">
        <f t="shared" si="1"/>
        <v>24105.6</v>
      </c>
      <c r="I67" s="109"/>
      <c r="J67" s="125">
        <f>2*12052.8</f>
        <v>24105.6</v>
      </c>
      <c r="K67" s="112"/>
      <c r="L67" s="109"/>
      <c r="M67" s="110"/>
      <c r="N67" s="110"/>
    </row>
    <row r="68" spans="1:14" s="107" customFormat="1" ht="23.25" customHeight="1">
      <c r="A68" s="114" t="s">
        <v>167</v>
      </c>
      <c r="B68" s="115">
        <v>150</v>
      </c>
      <c r="C68" s="115">
        <v>152</v>
      </c>
      <c r="D68" s="116" t="s">
        <v>795</v>
      </c>
      <c r="E68" s="115"/>
      <c r="F68" s="115">
        <v>152</v>
      </c>
      <c r="G68" s="509" t="s">
        <v>797</v>
      </c>
      <c r="H68" s="118">
        <f t="shared" si="1"/>
        <v>1440</v>
      </c>
      <c r="I68" s="109"/>
      <c r="J68" s="125">
        <v>1440</v>
      </c>
      <c r="K68" s="112"/>
      <c r="L68" s="109"/>
      <c r="M68" s="110"/>
      <c r="N68" s="110"/>
    </row>
    <row r="69" spans="1:14" s="107" customFormat="1" ht="23.25" customHeight="1">
      <c r="A69" s="114" t="s">
        <v>167</v>
      </c>
      <c r="B69" s="115">
        <v>150</v>
      </c>
      <c r="C69" s="115">
        <v>152</v>
      </c>
      <c r="D69" s="115">
        <v>901870000</v>
      </c>
      <c r="E69" s="115"/>
      <c r="F69" s="115">
        <v>152</v>
      </c>
      <c r="G69" s="509" t="s">
        <v>797</v>
      </c>
      <c r="H69" s="118">
        <f t="shared" si="1"/>
        <v>12915</v>
      </c>
      <c r="I69" s="109"/>
      <c r="J69" s="125">
        <v>12915</v>
      </c>
      <c r="K69" s="112"/>
      <c r="L69" s="109"/>
      <c r="M69" s="110"/>
      <c r="N69" s="110"/>
    </row>
    <row r="70" spans="1:14" s="107" customFormat="1" ht="23.25" customHeight="1">
      <c r="A70" s="114" t="s">
        <v>167</v>
      </c>
      <c r="B70" s="115">
        <v>150</v>
      </c>
      <c r="C70" s="115">
        <v>152</v>
      </c>
      <c r="D70" s="115">
        <v>901270000</v>
      </c>
      <c r="E70" s="115"/>
      <c r="F70" s="115">
        <v>152</v>
      </c>
      <c r="G70" s="102" t="s">
        <v>799</v>
      </c>
      <c r="H70" s="118">
        <f t="shared" si="1"/>
        <v>18257.44</v>
      </c>
      <c r="I70" s="109"/>
      <c r="J70" s="125">
        <v>18257.44</v>
      </c>
      <c r="K70" s="112"/>
      <c r="L70" s="109"/>
      <c r="M70" s="110"/>
      <c r="N70" s="110"/>
    </row>
    <row r="71" spans="1:14" s="107" customFormat="1" ht="23.25" customHeight="1">
      <c r="A71" s="114" t="s">
        <v>167</v>
      </c>
      <c r="B71" s="115">
        <v>150</v>
      </c>
      <c r="C71" s="115">
        <v>152</v>
      </c>
      <c r="D71" s="115">
        <v>901370000</v>
      </c>
      <c r="E71" s="115"/>
      <c r="F71" s="115">
        <v>152</v>
      </c>
      <c r="G71" s="500">
        <v>91100221500</v>
      </c>
      <c r="H71" s="118">
        <f t="shared" si="1"/>
        <v>112000</v>
      </c>
      <c r="I71" s="109"/>
      <c r="J71" s="125">
        <f>2*56000</f>
        <v>112000</v>
      </c>
      <c r="K71" s="112"/>
      <c r="L71" s="109"/>
      <c r="M71" s="110"/>
      <c r="N71" s="110"/>
    </row>
    <row r="72" spans="1:14" s="107" customFormat="1" ht="23.25" customHeight="1" hidden="1">
      <c r="A72" s="114" t="s">
        <v>828</v>
      </c>
      <c r="B72" s="489"/>
      <c r="C72" s="489">
        <v>152</v>
      </c>
      <c r="D72" s="489">
        <v>901480000</v>
      </c>
      <c r="E72" s="489"/>
      <c r="F72" s="489">
        <v>152</v>
      </c>
      <c r="G72" s="500" t="s">
        <v>526</v>
      </c>
      <c r="H72" s="491">
        <f t="shared" si="1"/>
        <v>0</v>
      </c>
      <c r="I72" s="501">
        <v>0</v>
      </c>
      <c r="J72" s="486"/>
      <c r="K72" s="112"/>
      <c r="L72" s="109"/>
      <c r="M72" s="110"/>
      <c r="N72" s="110"/>
    </row>
    <row r="73" spans="1:14" s="107" customFormat="1" ht="23.25" customHeight="1" hidden="1">
      <c r="A73" s="114" t="s">
        <v>236</v>
      </c>
      <c r="B73" s="489"/>
      <c r="C73" s="489">
        <v>152</v>
      </c>
      <c r="D73" s="489">
        <v>901160000</v>
      </c>
      <c r="E73" s="489"/>
      <c r="F73" s="489">
        <v>152</v>
      </c>
      <c r="G73" s="500" t="s">
        <v>526</v>
      </c>
      <c r="H73" s="491">
        <f t="shared" si="1"/>
        <v>0</v>
      </c>
      <c r="I73" s="501">
        <v>0</v>
      </c>
      <c r="J73" s="486"/>
      <c r="K73" s="112"/>
      <c r="L73" s="109"/>
      <c r="M73" s="110"/>
      <c r="N73" s="110"/>
    </row>
    <row r="74" spans="1:14" s="107" customFormat="1" ht="23.25" customHeight="1" hidden="1">
      <c r="A74" s="114" t="s">
        <v>829</v>
      </c>
      <c r="B74" s="489"/>
      <c r="C74" s="489">
        <v>152</v>
      </c>
      <c r="D74" s="489">
        <v>901830000</v>
      </c>
      <c r="E74" s="489"/>
      <c r="F74" s="489">
        <v>152</v>
      </c>
      <c r="G74" s="500" t="s">
        <v>526</v>
      </c>
      <c r="H74" s="491">
        <f t="shared" si="1"/>
        <v>0</v>
      </c>
      <c r="I74" s="501">
        <v>0</v>
      </c>
      <c r="J74" s="486"/>
      <c r="K74" s="112"/>
      <c r="L74" s="109"/>
      <c r="M74" s="110"/>
      <c r="N74" s="110"/>
    </row>
    <row r="75" spans="1:16" s="107" customFormat="1" ht="23.25" customHeight="1">
      <c r="A75" s="114" t="s">
        <v>830</v>
      </c>
      <c r="B75" s="489"/>
      <c r="C75" s="489">
        <v>152</v>
      </c>
      <c r="D75" s="489">
        <v>901060000</v>
      </c>
      <c r="E75" s="489"/>
      <c r="F75" s="489">
        <v>152</v>
      </c>
      <c r="G75" s="500" t="s">
        <v>525</v>
      </c>
      <c r="H75" s="491">
        <f t="shared" si="1"/>
        <v>144982.13</v>
      </c>
      <c r="I75" s="501">
        <v>0</v>
      </c>
      <c r="J75" s="486">
        <v>144982.13</v>
      </c>
      <c r="K75" s="112"/>
      <c r="L75" s="109"/>
      <c r="M75" s="110"/>
      <c r="N75" s="110"/>
      <c r="P75" s="486"/>
    </row>
    <row r="76" spans="1:14" s="107" customFormat="1" ht="23.25" customHeight="1" hidden="1">
      <c r="A76" s="114" t="s">
        <v>831</v>
      </c>
      <c r="B76" s="489"/>
      <c r="C76" s="489">
        <v>152</v>
      </c>
      <c r="D76" s="489">
        <v>901140000</v>
      </c>
      <c r="E76" s="489"/>
      <c r="F76" s="489">
        <v>152</v>
      </c>
      <c r="G76" s="500" t="s">
        <v>526</v>
      </c>
      <c r="H76" s="491">
        <f t="shared" si="1"/>
        <v>0</v>
      </c>
      <c r="I76" s="501">
        <v>0</v>
      </c>
      <c r="J76" s="486"/>
      <c r="K76" s="112"/>
      <c r="L76" s="109"/>
      <c r="M76" s="110"/>
      <c r="N76" s="110"/>
    </row>
    <row r="77" spans="1:14" s="107" customFormat="1" ht="23.25" customHeight="1" hidden="1">
      <c r="A77" s="114" t="s">
        <v>832</v>
      </c>
      <c r="B77" s="489"/>
      <c r="C77" s="489">
        <v>152</v>
      </c>
      <c r="D77" s="489">
        <v>901140000</v>
      </c>
      <c r="E77" s="489"/>
      <c r="F77" s="489">
        <v>152</v>
      </c>
      <c r="G77" s="500" t="s">
        <v>526</v>
      </c>
      <c r="H77" s="491">
        <f t="shared" si="1"/>
        <v>0</v>
      </c>
      <c r="I77" s="501">
        <v>0</v>
      </c>
      <c r="J77" s="486"/>
      <c r="K77" s="112"/>
      <c r="L77" s="109"/>
      <c r="M77" s="110"/>
      <c r="N77" s="110"/>
    </row>
    <row r="78" spans="1:14" s="107" customFormat="1" ht="23.25" customHeight="1" hidden="1">
      <c r="A78" s="114" t="s">
        <v>833</v>
      </c>
      <c r="B78" s="489"/>
      <c r="C78" s="489">
        <v>152</v>
      </c>
      <c r="D78" s="489">
        <v>901150000</v>
      </c>
      <c r="E78" s="489"/>
      <c r="F78" s="489">
        <v>152</v>
      </c>
      <c r="G78" s="500" t="s">
        <v>526</v>
      </c>
      <c r="H78" s="491">
        <f t="shared" si="1"/>
        <v>0</v>
      </c>
      <c r="I78" s="501">
        <v>0</v>
      </c>
      <c r="J78" s="486"/>
      <c r="K78" s="112"/>
      <c r="L78" s="109"/>
      <c r="M78" s="110"/>
      <c r="N78" s="110"/>
    </row>
    <row r="79" spans="1:14" s="107" customFormat="1" ht="23.25" customHeight="1" hidden="1">
      <c r="A79" s="114" t="s">
        <v>241</v>
      </c>
      <c r="B79" s="489"/>
      <c r="C79" s="489">
        <v>152</v>
      </c>
      <c r="D79" s="502">
        <v>901210000</v>
      </c>
      <c r="E79" s="489"/>
      <c r="F79" s="489">
        <v>152</v>
      </c>
      <c r="G79" s="492" t="s">
        <v>528</v>
      </c>
      <c r="H79" s="491">
        <f t="shared" si="1"/>
        <v>0</v>
      </c>
      <c r="I79" s="501">
        <v>0</v>
      </c>
      <c r="J79" s="486"/>
      <c r="K79" s="112"/>
      <c r="L79" s="109"/>
      <c r="M79" s="110"/>
      <c r="N79" s="110"/>
    </row>
    <row r="80" spans="1:14" s="107" customFormat="1" ht="23.25" customHeight="1" hidden="1">
      <c r="A80" s="114" t="s">
        <v>834</v>
      </c>
      <c r="B80" s="489"/>
      <c r="C80" s="489">
        <v>152</v>
      </c>
      <c r="D80" s="489">
        <v>901480000</v>
      </c>
      <c r="E80" s="489"/>
      <c r="F80" s="489">
        <v>152</v>
      </c>
      <c r="G80" s="500" t="s">
        <v>526</v>
      </c>
      <c r="H80" s="491">
        <f>J80+K80</f>
        <v>0</v>
      </c>
      <c r="I80" s="501">
        <v>0</v>
      </c>
      <c r="J80" s="486"/>
      <c r="K80" s="112"/>
      <c r="L80" s="109"/>
      <c r="M80" s="110"/>
      <c r="N80" s="110"/>
    </row>
    <row r="81" spans="1:14" s="107" customFormat="1" ht="23.25" customHeight="1" hidden="1">
      <c r="A81" s="114" t="s">
        <v>835</v>
      </c>
      <c r="B81" s="489"/>
      <c r="C81" s="489">
        <v>152</v>
      </c>
      <c r="D81" s="489">
        <v>901370000</v>
      </c>
      <c r="E81" s="489"/>
      <c r="F81" s="489">
        <v>152</v>
      </c>
      <c r="G81" s="500">
        <v>91100221500</v>
      </c>
      <c r="H81" s="491">
        <f>J81+K81</f>
        <v>0</v>
      </c>
      <c r="I81" s="501">
        <v>0</v>
      </c>
      <c r="J81" s="486"/>
      <c r="K81" s="112"/>
      <c r="L81" s="109"/>
      <c r="M81" s="110"/>
      <c r="N81" s="110"/>
    </row>
    <row r="82" spans="1:14" s="107" customFormat="1" ht="23.25" customHeight="1" hidden="1">
      <c r="A82" s="114" t="s">
        <v>836</v>
      </c>
      <c r="B82" s="489"/>
      <c r="C82" s="489">
        <v>152</v>
      </c>
      <c r="D82" s="489">
        <v>901030000</v>
      </c>
      <c r="E82" s="489"/>
      <c r="F82" s="489">
        <v>152</v>
      </c>
      <c r="G82" s="500" t="s">
        <v>837</v>
      </c>
      <c r="H82" s="491">
        <f>J82+K82</f>
        <v>0</v>
      </c>
      <c r="I82" s="501">
        <v>0</v>
      </c>
      <c r="J82" s="486"/>
      <c r="K82" s="112"/>
      <c r="L82" s="109"/>
      <c r="M82" s="110"/>
      <c r="N82" s="110"/>
    </row>
    <row r="83" spans="1:14" s="107" customFormat="1" ht="23.25" customHeight="1" hidden="1">
      <c r="A83" s="114" t="s">
        <v>838</v>
      </c>
      <c r="B83" s="489"/>
      <c r="C83" s="489">
        <v>152</v>
      </c>
      <c r="D83" s="489">
        <v>901490000</v>
      </c>
      <c r="E83" s="489"/>
      <c r="F83" s="489">
        <v>152</v>
      </c>
      <c r="G83" s="500" t="s">
        <v>839</v>
      </c>
      <c r="H83" s="491">
        <f t="shared" si="1"/>
        <v>0</v>
      </c>
      <c r="I83" s="501">
        <v>0</v>
      </c>
      <c r="J83" s="486"/>
      <c r="K83" s="112"/>
      <c r="L83" s="109"/>
      <c r="M83" s="110"/>
      <c r="N83" s="110"/>
    </row>
    <row r="84" spans="1:14" s="107" customFormat="1" ht="23.25" customHeight="1">
      <c r="A84" s="114" t="s">
        <v>167</v>
      </c>
      <c r="B84" s="115">
        <v>150</v>
      </c>
      <c r="C84" s="115">
        <v>152</v>
      </c>
      <c r="D84" s="115">
        <v>901750000</v>
      </c>
      <c r="E84" s="115"/>
      <c r="F84" s="115">
        <v>152</v>
      </c>
      <c r="G84" s="117" t="s">
        <v>529</v>
      </c>
      <c r="H84" s="118">
        <f t="shared" si="1"/>
        <v>0</v>
      </c>
      <c r="I84" s="109"/>
      <c r="J84" s="125">
        <v>0</v>
      </c>
      <c r="K84" s="112"/>
      <c r="L84" s="109"/>
      <c r="M84" s="110"/>
      <c r="N84" s="110"/>
    </row>
    <row r="85" spans="1:14" s="128" customFormat="1" ht="15" customHeight="1">
      <c r="A85" s="114" t="s">
        <v>210</v>
      </c>
      <c r="B85" s="115">
        <v>160</v>
      </c>
      <c r="C85" s="115">
        <v>180</v>
      </c>
      <c r="D85" s="116" t="s">
        <v>521</v>
      </c>
      <c r="E85" s="115"/>
      <c r="F85" s="115">
        <v>180</v>
      </c>
      <c r="G85" s="117" t="s">
        <v>363</v>
      </c>
      <c r="H85" s="118">
        <f aca="true" t="shared" si="2" ref="H85:H93">M85</f>
        <v>-223534</v>
      </c>
      <c r="I85" s="115" t="s">
        <v>74</v>
      </c>
      <c r="J85" s="115" t="s">
        <v>74</v>
      </c>
      <c r="K85" s="115" t="s">
        <v>74</v>
      </c>
      <c r="L85" s="115" t="s">
        <v>74</v>
      </c>
      <c r="M85" s="118">
        <f>M86+M87</f>
        <v>-223534</v>
      </c>
      <c r="N85" s="118">
        <f>N86+N87</f>
        <v>0</v>
      </c>
    </row>
    <row r="86" spans="1:14" s="128" customFormat="1" ht="15" customHeight="1">
      <c r="A86" s="135" t="s">
        <v>133</v>
      </c>
      <c r="B86" s="115"/>
      <c r="C86" s="115">
        <v>189</v>
      </c>
      <c r="D86" s="116" t="s">
        <v>521</v>
      </c>
      <c r="E86" s="115"/>
      <c r="F86" s="115">
        <v>189</v>
      </c>
      <c r="G86" s="117" t="s">
        <v>363</v>
      </c>
      <c r="H86" s="118">
        <f t="shared" si="2"/>
        <v>0</v>
      </c>
      <c r="I86" s="118"/>
      <c r="J86" s="118"/>
      <c r="K86" s="119"/>
      <c r="L86" s="123"/>
      <c r="M86" s="118"/>
      <c r="N86" s="118"/>
    </row>
    <row r="87" spans="1:14" s="128" customFormat="1" ht="15" customHeight="1">
      <c r="A87" s="135" t="s">
        <v>134</v>
      </c>
      <c r="B87" s="115"/>
      <c r="C87" s="115">
        <v>189</v>
      </c>
      <c r="D87" s="116" t="s">
        <v>521</v>
      </c>
      <c r="E87" s="115"/>
      <c r="F87" s="115">
        <v>189</v>
      </c>
      <c r="G87" s="117" t="s">
        <v>363</v>
      </c>
      <c r="H87" s="118">
        <f t="shared" si="2"/>
        <v>-223534</v>
      </c>
      <c r="I87" s="118"/>
      <c r="J87" s="118"/>
      <c r="K87" s="119"/>
      <c r="L87" s="123"/>
      <c r="M87" s="118">
        <f>-112140-111394</f>
        <v>-223534</v>
      </c>
      <c r="N87" s="118"/>
    </row>
    <row r="88" spans="1:14" s="128" customFormat="1" ht="24" customHeight="1">
      <c r="A88" s="114" t="s">
        <v>211</v>
      </c>
      <c r="B88" s="115">
        <v>180</v>
      </c>
      <c r="C88" s="115">
        <v>400</v>
      </c>
      <c r="D88" s="116" t="s">
        <v>521</v>
      </c>
      <c r="E88" s="115" t="s">
        <v>74</v>
      </c>
      <c r="F88" s="115">
        <v>400</v>
      </c>
      <c r="G88" s="117" t="s">
        <v>363</v>
      </c>
      <c r="H88" s="118">
        <f t="shared" si="2"/>
        <v>0</v>
      </c>
      <c r="I88" s="115" t="s">
        <v>74</v>
      </c>
      <c r="J88" s="115" t="s">
        <v>74</v>
      </c>
      <c r="K88" s="115" t="s">
        <v>74</v>
      </c>
      <c r="L88" s="115" t="s">
        <v>74</v>
      </c>
      <c r="M88" s="118">
        <f>M89+M90+M91+M93+M92</f>
        <v>0</v>
      </c>
      <c r="N88" s="115" t="s">
        <v>74</v>
      </c>
    </row>
    <row r="89" spans="1:14" s="128" customFormat="1" ht="24" customHeight="1">
      <c r="A89" s="136" t="s">
        <v>374</v>
      </c>
      <c r="B89" s="115"/>
      <c r="C89" s="115">
        <v>410</v>
      </c>
      <c r="D89" s="116" t="s">
        <v>521</v>
      </c>
      <c r="E89" s="115"/>
      <c r="F89" s="115">
        <v>410</v>
      </c>
      <c r="G89" s="117" t="s">
        <v>363</v>
      </c>
      <c r="H89" s="118">
        <f t="shared" si="2"/>
        <v>0</v>
      </c>
      <c r="I89" s="118"/>
      <c r="J89" s="118"/>
      <c r="K89" s="119"/>
      <c r="L89" s="123"/>
      <c r="M89" s="118"/>
      <c r="N89" s="118"/>
    </row>
    <row r="90" spans="1:14" s="128" customFormat="1" ht="24" customHeight="1">
      <c r="A90" s="136" t="s">
        <v>375</v>
      </c>
      <c r="B90" s="115"/>
      <c r="C90" s="115">
        <v>420</v>
      </c>
      <c r="D90" s="116" t="s">
        <v>521</v>
      </c>
      <c r="E90" s="115"/>
      <c r="F90" s="115">
        <v>420</v>
      </c>
      <c r="G90" s="117" t="s">
        <v>363</v>
      </c>
      <c r="H90" s="118">
        <f t="shared" si="2"/>
        <v>0</v>
      </c>
      <c r="I90" s="118"/>
      <c r="J90" s="118"/>
      <c r="K90" s="119"/>
      <c r="L90" s="123"/>
      <c r="M90" s="118"/>
      <c r="N90" s="118"/>
    </row>
    <row r="91" spans="1:14" s="128" customFormat="1" ht="24" customHeight="1">
      <c r="A91" s="136" t="s">
        <v>376</v>
      </c>
      <c r="B91" s="115"/>
      <c r="C91" s="115">
        <v>430</v>
      </c>
      <c r="D91" s="116" t="s">
        <v>521</v>
      </c>
      <c r="E91" s="115"/>
      <c r="F91" s="115">
        <v>430</v>
      </c>
      <c r="G91" s="117" t="s">
        <v>363</v>
      </c>
      <c r="H91" s="118">
        <f t="shared" si="2"/>
        <v>0</v>
      </c>
      <c r="I91" s="118"/>
      <c r="J91" s="118"/>
      <c r="K91" s="119"/>
      <c r="L91" s="123"/>
      <c r="M91" s="118"/>
      <c r="N91" s="118"/>
    </row>
    <row r="92" spans="1:14" s="121" customFormat="1" ht="24" customHeight="1">
      <c r="A92" s="136" t="s">
        <v>425</v>
      </c>
      <c r="B92" s="115"/>
      <c r="C92" s="115">
        <v>440</v>
      </c>
      <c r="D92" s="116" t="s">
        <v>521</v>
      </c>
      <c r="E92" s="115"/>
      <c r="F92" s="115">
        <v>440</v>
      </c>
      <c r="G92" s="117" t="s">
        <v>363</v>
      </c>
      <c r="H92" s="118">
        <f>M92</f>
        <v>0</v>
      </c>
      <c r="I92" s="118"/>
      <c r="J92" s="118"/>
      <c r="K92" s="119"/>
      <c r="L92" s="123"/>
      <c r="M92" s="118"/>
      <c r="N92" s="118"/>
    </row>
    <row r="93" spans="1:14" s="128" customFormat="1" ht="24" customHeight="1">
      <c r="A93" s="136" t="s">
        <v>377</v>
      </c>
      <c r="B93" s="115"/>
      <c r="C93" s="115">
        <v>450</v>
      </c>
      <c r="D93" s="116" t="s">
        <v>521</v>
      </c>
      <c r="E93" s="115"/>
      <c r="F93" s="115">
        <v>450</v>
      </c>
      <c r="G93" s="117" t="s">
        <v>363</v>
      </c>
      <c r="H93" s="118">
        <f t="shared" si="2"/>
        <v>0</v>
      </c>
      <c r="I93" s="118"/>
      <c r="J93" s="118"/>
      <c r="K93" s="119"/>
      <c r="L93" s="123"/>
      <c r="M93" s="118"/>
      <c r="N93" s="118"/>
    </row>
    <row r="94" spans="1:14" s="8" customFormat="1" ht="11.25" customHeight="1">
      <c r="A94" s="137" t="s">
        <v>44</v>
      </c>
      <c r="B94" s="138">
        <v>200</v>
      </c>
      <c r="C94" s="138"/>
      <c r="D94" s="138"/>
      <c r="E94" s="138"/>
      <c r="F94" s="139"/>
      <c r="G94" s="139"/>
      <c r="H94" s="140">
        <f>I94+J94+M94</f>
        <v>76570815.24000001</v>
      </c>
      <c r="I94" s="140">
        <f aca="true" t="shared" si="3" ref="I94:N94">I96+I141+I155+I171+I172+I176</f>
        <v>51163721.339999996</v>
      </c>
      <c r="J94" s="140">
        <f>J96+J141+J155+J171+J172+J176</f>
        <v>6705968.66</v>
      </c>
      <c r="K94" s="140">
        <f t="shared" si="3"/>
        <v>0</v>
      </c>
      <c r="L94" s="140">
        <f t="shared" si="3"/>
        <v>0</v>
      </c>
      <c r="M94" s="140">
        <f t="shared" si="3"/>
        <v>18701125.240000002</v>
      </c>
      <c r="N94" s="140">
        <f t="shared" si="3"/>
        <v>0</v>
      </c>
    </row>
    <row r="95" spans="1:14" s="8" customFormat="1" ht="13.5" customHeight="1">
      <c r="A95" s="141" t="s">
        <v>4</v>
      </c>
      <c r="B95" s="109"/>
      <c r="C95" s="109"/>
      <c r="D95" s="109"/>
      <c r="E95" s="109"/>
      <c r="F95" s="109"/>
      <c r="G95" s="110"/>
      <c r="H95" s="125"/>
      <c r="I95" s="125"/>
      <c r="J95" s="125"/>
      <c r="K95" s="113"/>
      <c r="L95" s="113"/>
      <c r="M95" s="113"/>
      <c r="N95" s="113"/>
    </row>
    <row r="96" spans="1:14" s="161" customFormat="1" ht="13.5" customHeight="1">
      <c r="A96" s="176" t="s">
        <v>296</v>
      </c>
      <c r="B96" s="174">
        <v>210</v>
      </c>
      <c r="C96" s="174"/>
      <c r="D96" s="174"/>
      <c r="E96" s="174"/>
      <c r="F96" s="174"/>
      <c r="G96" s="177"/>
      <c r="H96" s="160">
        <f>H98+SUM(H115:H140)</f>
        <v>48891179.39</v>
      </c>
      <c r="I96" s="160">
        <f>I98+SUM(I115:I140)</f>
        <v>37130872.9</v>
      </c>
      <c r="J96" s="160">
        <f>J98+SUM(J115:J140)</f>
        <v>4680444.1899999995</v>
      </c>
      <c r="K96" s="160">
        <f>K98</f>
        <v>0</v>
      </c>
      <c r="L96" s="160">
        <f>L98</f>
        <v>0</v>
      </c>
      <c r="M96" s="160">
        <f>M98+SUM(M115:M140)</f>
        <v>7452862.300000001</v>
      </c>
      <c r="N96" s="160">
        <f>N98</f>
        <v>0</v>
      </c>
    </row>
    <row r="97" spans="1:14" s="8" customFormat="1" ht="13.5" customHeight="1">
      <c r="A97" s="142" t="s">
        <v>3</v>
      </c>
      <c r="B97" s="115"/>
      <c r="C97" s="115"/>
      <c r="D97" s="115"/>
      <c r="E97" s="115"/>
      <c r="F97" s="115"/>
      <c r="G97" s="122"/>
      <c r="H97" s="118"/>
      <c r="I97" s="125"/>
      <c r="J97" s="125"/>
      <c r="K97" s="113"/>
      <c r="L97" s="113"/>
      <c r="M97" s="113"/>
      <c r="N97" s="113"/>
    </row>
    <row r="98" spans="1:14" s="161" customFormat="1" ht="25.5" customHeight="1">
      <c r="A98" s="156" t="s">
        <v>297</v>
      </c>
      <c r="B98" s="157">
        <v>211</v>
      </c>
      <c r="C98" s="157"/>
      <c r="D98" s="157"/>
      <c r="E98" s="157"/>
      <c r="F98" s="157"/>
      <c r="G98" s="158"/>
      <c r="H98" s="159">
        <f>SUM(H100:H111)</f>
        <v>37090931.33</v>
      </c>
      <c r="I98" s="159">
        <f>SUM(I100:I111)</f>
        <v>28419434.659999996</v>
      </c>
      <c r="J98" s="159">
        <f>SUM(J100:J111)</f>
        <v>3320332.02</v>
      </c>
      <c r="K98" s="159">
        <f>SUM(K100:K111)</f>
        <v>0</v>
      </c>
      <c r="L98" s="159">
        <f>SUM(L100:L111)</f>
        <v>0</v>
      </c>
      <c r="M98" s="159">
        <f>SUM(M100:M114)</f>
        <v>5724164.65</v>
      </c>
      <c r="N98" s="160">
        <f>N100+N115+N123+N130</f>
        <v>0</v>
      </c>
    </row>
    <row r="99" spans="1:14" s="8" customFormat="1" ht="16.5" customHeight="1">
      <c r="A99" s="142" t="s">
        <v>4</v>
      </c>
      <c r="B99" s="115"/>
      <c r="C99" s="115"/>
      <c r="D99" s="115"/>
      <c r="E99" s="115"/>
      <c r="F99" s="115"/>
      <c r="G99" s="122"/>
      <c r="H99" s="118"/>
      <c r="I99" s="125"/>
      <c r="J99" s="125"/>
      <c r="K99" s="113"/>
      <c r="L99" s="113"/>
      <c r="M99" s="113"/>
      <c r="N99" s="113"/>
    </row>
    <row r="100" spans="1:14" s="8" customFormat="1" ht="16.5" customHeight="1">
      <c r="A100" s="142" t="s">
        <v>298</v>
      </c>
      <c r="B100" s="115"/>
      <c r="C100" s="115">
        <v>211</v>
      </c>
      <c r="D100" s="116" t="s">
        <v>522</v>
      </c>
      <c r="E100" s="115">
        <v>111</v>
      </c>
      <c r="F100" s="115">
        <v>211</v>
      </c>
      <c r="G100" s="102" t="s">
        <v>523</v>
      </c>
      <c r="H100" s="118">
        <f>I100+J100+K100+L100+M100+N100</f>
        <v>20114739.49</v>
      </c>
      <c r="I100" s="125">
        <f>18060150.53+226690.97-123437.53+1951335.52</f>
        <v>20114739.49</v>
      </c>
      <c r="J100" s="125"/>
      <c r="K100" s="113"/>
      <c r="L100" s="113"/>
      <c r="M100" s="113"/>
      <c r="N100" s="113"/>
    </row>
    <row r="101" spans="1:14" s="8" customFormat="1" ht="16.5" customHeight="1">
      <c r="A101" s="142" t="s">
        <v>298</v>
      </c>
      <c r="B101" s="487"/>
      <c r="C101" s="115">
        <v>211</v>
      </c>
      <c r="D101" s="488" t="s">
        <v>522</v>
      </c>
      <c r="E101" s="392">
        <v>111</v>
      </c>
      <c r="F101" s="392">
        <v>211</v>
      </c>
      <c r="G101" s="490" t="s">
        <v>823</v>
      </c>
      <c r="H101" s="491">
        <f>I101+J101+K101+L101+M101+N101</f>
        <v>8164695.17</v>
      </c>
      <c r="I101" s="486">
        <v>8164695.17</v>
      </c>
      <c r="J101" s="125"/>
      <c r="K101" s="113"/>
      <c r="L101" s="113"/>
      <c r="M101" s="113"/>
      <c r="N101" s="113"/>
    </row>
    <row r="102" spans="1:14" s="8" customFormat="1" ht="16.5" customHeight="1">
      <c r="A102" s="142" t="s">
        <v>298</v>
      </c>
      <c r="B102" s="487"/>
      <c r="C102" s="115">
        <v>266</v>
      </c>
      <c r="D102" s="488" t="s">
        <v>522</v>
      </c>
      <c r="E102" s="392">
        <v>111</v>
      </c>
      <c r="F102" s="392">
        <v>266</v>
      </c>
      <c r="G102" s="490" t="s">
        <v>823</v>
      </c>
      <c r="H102" s="491">
        <f>I102+J102+K102+L102+M102+N102</f>
        <v>120000</v>
      </c>
      <c r="I102" s="486">
        <v>120000</v>
      </c>
      <c r="J102" s="125"/>
      <c r="K102" s="113"/>
      <c r="L102" s="113"/>
      <c r="M102" s="113"/>
      <c r="N102" s="113"/>
    </row>
    <row r="103" spans="1:14" s="8" customFormat="1" ht="16.5" customHeight="1" hidden="1">
      <c r="A103" s="142" t="s">
        <v>298</v>
      </c>
      <c r="B103" s="487"/>
      <c r="C103" s="115">
        <v>211</v>
      </c>
      <c r="D103" s="488" t="s">
        <v>522</v>
      </c>
      <c r="E103" s="392">
        <v>111</v>
      </c>
      <c r="F103" s="392">
        <v>211</v>
      </c>
      <c r="G103" s="490" t="s">
        <v>523</v>
      </c>
      <c r="H103" s="491">
        <f>I103+J103+K103+L103+M103+N103</f>
        <v>0</v>
      </c>
      <c r="I103" s="486"/>
      <c r="J103" s="125"/>
      <c r="K103" s="113"/>
      <c r="L103" s="113"/>
      <c r="M103" s="113"/>
      <c r="N103" s="113"/>
    </row>
    <row r="104" spans="1:14" s="8" customFormat="1" ht="16.5" customHeight="1">
      <c r="A104" s="142" t="s">
        <v>298</v>
      </c>
      <c r="B104" s="487"/>
      <c r="C104" s="115">
        <v>266</v>
      </c>
      <c r="D104" s="488" t="s">
        <v>522</v>
      </c>
      <c r="E104" s="392">
        <v>111</v>
      </c>
      <c r="F104" s="392">
        <v>266</v>
      </c>
      <c r="G104" s="490" t="s">
        <v>523</v>
      </c>
      <c r="H104" s="491">
        <f>I104+J104+K104+L104+M104+N104</f>
        <v>20000</v>
      </c>
      <c r="I104" s="486">
        <v>20000</v>
      </c>
      <c r="J104" s="125"/>
      <c r="K104" s="113"/>
      <c r="L104" s="113"/>
      <c r="M104" s="113"/>
      <c r="N104" s="113"/>
    </row>
    <row r="105" spans="1:14" s="8" customFormat="1" ht="16.5" customHeight="1">
      <c r="A105" s="142" t="s">
        <v>298</v>
      </c>
      <c r="B105" s="115"/>
      <c r="C105" s="115">
        <v>211</v>
      </c>
      <c r="D105" s="115">
        <v>901480000</v>
      </c>
      <c r="E105" s="115">
        <v>111</v>
      </c>
      <c r="F105" s="115">
        <v>211</v>
      </c>
      <c r="G105" s="102" t="s">
        <v>523</v>
      </c>
      <c r="H105" s="118">
        <f>SUM(I105:J105)</f>
        <v>1944396.86</v>
      </c>
      <c r="I105" s="125"/>
      <c r="J105" s="125">
        <f>1291679.72-7680.49+314345.35+346052.28</f>
        <v>1944396.86</v>
      </c>
      <c r="K105" s="113"/>
      <c r="L105" s="113"/>
      <c r="M105" s="113"/>
      <c r="N105" s="113"/>
    </row>
    <row r="106" spans="1:14" s="8" customFormat="1" ht="16.5" customHeight="1">
      <c r="A106" s="142" t="s">
        <v>298</v>
      </c>
      <c r="B106" s="115"/>
      <c r="C106" s="115">
        <v>211</v>
      </c>
      <c r="D106" s="115">
        <v>901160000</v>
      </c>
      <c r="E106" s="115">
        <v>111</v>
      </c>
      <c r="F106" s="115">
        <v>211</v>
      </c>
      <c r="G106" s="102" t="s">
        <v>523</v>
      </c>
      <c r="H106" s="118">
        <f>SUM(I106:J106)</f>
        <v>847763.81</v>
      </c>
      <c r="I106" s="125"/>
      <c r="J106" s="125">
        <f>729373.27-3668.08+27790.49+94268.13</f>
        <v>847763.81</v>
      </c>
      <c r="K106" s="113"/>
      <c r="L106" s="113"/>
      <c r="M106" s="113"/>
      <c r="N106" s="113"/>
    </row>
    <row r="107" spans="1:14" s="8" customFormat="1" ht="16.5" customHeight="1">
      <c r="A107" s="142" t="s">
        <v>298</v>
      </c>
      <c r="B107" s="115"/>
      <c r="C107" s="115">
        <v>211</v>
      </c>
      <c r="D107" s="115">
        <v>901830000</v>
      </c>
      <c r="E107" s="115">
        <v>111</v>
      </c>
      <c r="F107" s="115">
        <v>211</v>
      </c>
      <c r="G107" s="102" t="s">
        <v>523</v>
      </c>
      <c r="H107" s="118">
        <f>SUM(I107:J107)</f>
        <v>528171.35</v>
      </c>
      <c r="I107" s="125"/>
      <c r="J107" s="125">
        <f>408936.68+2.1+30817.51+1.03+88414.03</f>
        <v>528171.35</v>
      </c>
      <c r="K107" s="113"/>
      <c r="L107" s="113"/>
      <c r="M107" s="113"/>
      <c r="N107" s="113"/>
    </row>
    <row r="108" spans="1:14" s="8" customFormat="1" ht="16.5" customHeight="1" hidden="1">
      <c r="A108" s="142" t="s">
        <v>298</v>
      </c>
      <c r="B108" s="487"/>
      <c r="C108" s="115">
        <v>211</v>
      </c>
      <c r="D108" s="489">
        <v>901480000</v>
      </c>
      <c r="E108" s="115">
        <v>111</v>
      </c>
      <c r="F108" s="115">
        <v>211</v>
      </c>
      <c r="G108" s="500" t="s">
        <v>523</v>
      </c>
      <c r="H108" s="491">
        <f>I108+J108+K108+L108+M108+N108</f>
        <v>0</v>
      </c>
      <c r="I108" s="485">
        <v>0</v>
      </c>
      <c r="J108" s="486"/>
      <c r="K108" s="113"/>
      <c r="L108" s="113"/>
      <c r="M108" s="113"/>
      <c r="N108" s="113"/>
    </row>
    <row r="109" spans="1:14" s="8" customFormat="1" ht="16.5" customHeight="1" hidden="1">
      <c r="A109" s="142" t="s">
        <v>298</v>
      </c>
      <c r="B109" s="487"/>
      <c r="C109" s="115">
        <v>211</v>
      </c>
      <c r="D109" s="489">
        <v>901160000</v>
      </c>
      <c r="E109" s="115">
        <v>111</v>
      </c>
      <c r="F109" s="115">
        <v>211</v>
      </c>
      <c r="G109" s="500" t="s">
        <v>523</v>
      </c>
      <c r="H109" s="491">
        <f>I109+J109+K109+L109+M109+N109</f>
        <v>0</v>
      </c>
      <c r="I109" s="485">
        <v>0</v>
      </c>
      <c r="J109" s="486"/>
      <c r="K109" s="113"/>
      <c r="L109" s="113"/>
      <c r="M109" s="113"/>
      <c r="N109" s="113"/>
    </row>
    <row r="110" spans="1:14" s="8" customFormat="1" ht="16.5" customHeight="1" hidden="1">
      <c r="A110" s="142" t="s">
        <v>298</v>
      </c>
      <c r="B110" s="487"/>
      <c r="C110" s="115">
        <v>211</v>
      </c>
      <c r="D110" s="489">
        <v>901830000</v>
      </c>
      <c r="E110" s="115">
        <v>111</v>
      </c>
      <c r="F110" s="115">
        <v>211</v>
      </c>
      <c r="G110" s="500" t="s">
        <v>523</v>
      </c>
      <c r="H110" s="491">
        <f>I110+J110+K110+L110+M110+N110</f>
        <v>0</v>
      </c>
      <c r="I110" s="485">
        <v>0</v>
      </c>
      <c r="J110" s="486"/>
      <c r="K110" s="113"/>
      <c r="L110" s="113"/>
      <c r="M110" s="113"/>
      <c r="N110" s="113"/>
    </row>
    <row r="111" spans="1:14" s="8" customFormat="1" ht="16.5" customHeight="1">
      <c r="A111" s="142" t="s">
        <v>298</v>
      </c>
      <c r="B111" s="115"/>
      <c r="C111" s="115">
        <v>211</v>
      </c>
      <c r="D111" s="116" t="s">
        <v>521</v>
      </c>
      <c r="E111" s="115">
        <v>111</v>
      </c>
      <c r="F111" s="115">
        <v>211</v>
      </c>
      <c r="G111" s="102" t="s">
        <v>530</v>
      </c>
      <c r="H111" s="118">
        <f>SUM(I111:M111)</f>
        <v>5351164.65</v>
      </c>
      <c r="I111" s="125"/>
      <c r="J111" s="125"/>
      <c r="K111" s="113"/>
      <c r="L111" s="113"/>
      <c r="M111" s="113">
        <v>5351164.65</v>
      </c>
      <c r="N111" s="113"/>
    </row>
    <row r="112" spans="1:14" s="8" customFormat="1" ht="16.5" customHeight="1">
      <c r="A112" s="142" t="s">
        <v>298</v>
      </c>
      <c r="B112" s="487"/>
      <c r="C112" s="392">
        <v>211</v>
      </c>
      <c r="D112" s="498" t="s">
        <v>521</v>
      </c>
      <c r="E112" s="392">
        <v>111</v>
      </c>
      <c r="F112" s="392">
        <v>211</v>
      </c>
      <c r="G112" s="492" t="s">
        <v>530</v>
      </c>
      <c r="H112" s="491">
        <f>I112+J112+K112+L112+M112+N112</f>
        <v>365000</v>
      </c>
      <c r="I112" s="485">
        <v>0</v>
      </c>
      <c r="J112" s="485">
        <v>0</v>
      </c>
      <c r="K112" s="499">
        <v>0</v>
      </c>
      <c r="L112" s="499">
        <v>0</v>
      </c>
      <c r="M112" s="497">
        <v>365000</v>
      </c>
      <c r="N112" s="113"/>
    </row>
    <row r="113" spans="1:14" s="8" customFormat="1" ht="16.5" customHeight="1">
      <c r="A113" s="142" t="s">
        <v>298</v>
      </c>
      <c r="B113" s="487"/>
      <c r="C113" s="392">
        <v>266</v>
      </c>
      <c r="D113" s="498" t="s">
        <v>521</v>
      </c>
      <c r="E113" s="392">
        <v>111</v>
      </c>
      <c r="F113" s="392">
        <v>266</v>
      </c>
      <c r="G113" s="492" t="s">
        <v>530</v>
      </c>
      <c r="H113" s="491">
        <f>I113+J113+K113+L113+M113+N113</f>
        <v>5000</v>
      </c>
      <c r="I113" s="485"/>
      <c r="J113" s="485"/>
      <c r="K113" s="499"/>
      <c r="L113" s="499"/>
      <c r="M113" s="497">
        <v>5000</v>
      </c>
      <c r="N113" s="113"/>
    </row>
    <row r="114" spans="1:14" s="8" customFormat="1" ht="16.5" customHeight="1">
      <c r="A114" s="142" t="s">
        <v>298</v>
      </c>
      <c r="B114" s="487"/>
      <c r="C114" s="392">
        <v>266</v>
      </c>
      <c r="D114" s="498" t="s">
        <v>521</v>
      </c>
      <c r="E114" s="392">
        <v>111</v>
      </c>
      <c r="F114" s="392">
        <v>266</v>
      </c>
      <c r="G114" s="492" t="s">
        <v>530</v>
      </c>
      <c r="H114" s="491">
        <f>I114+J114+K114+L114+M114+N114</f>
        <v>3000</v>
      </c>
      <c r="I114" s="485">
        <v>0</v>
      </c>
      <c r="J114" s="485">
        <v>0</v>
      </c>
      <c r="K114" s="499">
        <v>0</v>
      </c>
      <c r="L114" s="499">
        <v>0</v>
      </c>
      <c r="M114" s="496">
        <v>3000</v>
      </c>
      <c r="N114" s="113"/>
    </row>
    <row r="115" spans="1:14" s="8" customFormat="1" ht="16.5" customHeight="1">
      <c r="A115" s="142" t="s">
        <v>299</v>
      </c>
      <c r="B115" s="115"/>
      <c r="C115" s="115">
        <v>266</v>
      </c>
      <c r="D115" s="116" t="s">
        <v>522</v>
      </c>
      <c r="E115" s="115">
        <v>111</v>
      </c>
      <c r="F115" s="115">
        <v>266</v>
      </c>
      <c r="G115" s="102" t="s">
        <v>523</v>
      </c>
      <c r="H115" s="118">
        <f>I115+J115+K115+L115+M115+N115</f>
        <v>127432.87</v>
      </c>
      <c r="I115" s="125">
        <v>127432.87</v>
      </c>
      <c r="J115" s="125"/>
      <c r="K115" s="113"/>
      <c r="L115" s="113"/>
      <c r="M115" s="113"/>
      <c r="N115" s="113"/>
    </row>
    <row r="116" spans="1:14" s="8" customFormat="1" ht="16.5" customHeight="1">
      <c r="A116" s="142" t="s">
        <v>299</v>
      </c>
      <c r="B116" s="115"/>
      <c r="C116" s="115">
        <v>266</v>
      </c>
      <c r="D116" s="115">
        <v>901480000</v>
      </c>
      <c r="E116" s="115">
        <v>111</v>
      </c>
      <c r="F116" s="115">
        <v>266</v>
      </c>
      <c r="G116" s="102" t="s">
        <v>523</v>
      </c>
      <c r="H116" s="118">
        <f>SUM(I116:J116)</f>
        <v>15000</v>
      </c>
      <c r="I116" s="125"/>
      <c r="J116" s="125">
        <v>15000</v>
      </c>
      <c r="K116" s="113"/>
      <c r="L116" s="113"/>
      <c r="M116" s="113"/>
      <c r="N116" s="113"/>
    </row>
    <row r="117" spans="1:14" s="8" customFormat="1" ht="16.5" customHeight="1">
      <c r="A117" s="142" t="s">
        <v>299</v>
      </c>
      <c r="B117" s="115"/>
      <c r="C117" s="115">
        <v>266</v>
      </c>
      <c r="D117" s="115">
        <v>901160000</v>
      </c>
      <c r="E117" s="115">
        <v>111</v>
      </c>
      <c r="F117" s="115">
        <v>266</v>
      </c>
      <c r="G117" s="102" t="s">
        <v>523</v>
      </c>
      <c r="H117" s="118">
        <f>SUM(I117:J117)</f>
        <v>6775.84</v>
      </c>
      <c r="I117" s="125"/>
      <c r="J117" s="125">
        <f>4775.84+2000</f>
        <v>6775.84</v>
      </c>
      <c r="K117" s="113"/>
      <c r="L117" s="113"/>
      <c r="M117" s="113"/>
      <c r="N117" s="113"/>
    </row>
    <row r="118" spans="1:14" s="8" customFormat="1" ht="16.5" customHeight="1" hidden="1">
      <c r="A118" s="142" t="s">
        <v>298</v>
      </c>
      <c r="B118" s="487"/>
      <c r="C118" s="115">
        <v>266</v>
      </c>
      <c r="D118" s="489">
        <v>901480000</v>
      </c>
      <c r="E118" s="115">
        <v>111</v>
      </c>
      <c r="F118" s="115">
        <v>266</v>
      </c>
      <c r="G118" s="500" t="s">
        <v>523</v>
      </c>
      <c r="H118" s="491">
        <f>I118+J118+K118+L118+M118+N118</f>
        <v>0</v>
      </c>
      <c r="I118" s="485">
        <v>0</v>
      </c>
      <c r="J118" s="486"/>
      <c r="K118" s="113"/>
      <c r="L118" s="113"/>
      <c r="M118" s="113"/>
      <c r="N118" s="113"/>
    </row>
    <row r="119" spans="1:14" s="8" customFormat="1" ht="16.5" customHeight="1" hidden="1">
      <c r="A119" s="142" t="s">
        <v>298</v>
      </c>
      <c r="B119" s="487"/>
      <c r="C119" s="115">
        <v>266</v>
      </c>
      <c r="D119" s="489">
        <v>901160000</v>
      </c>
      <c r="E119" s="115">
        <v>111</v>
      </c>
      <c r="F119" s="115">
        <v>266</v>
      </c>
      <c r="G119" s="500" t="s">
        <v>523</v>
      </c>
      <c r="H119" s="491">
        <f>I119+J119+K119+L119+M119+N119</f>
        <v>0</v>
      </c>
      <c r="I119" s="485">
        <v>0</v>
      </c>
      <c r="J119" s="486"/>
      <c r="K119" s="113"/>
      <c r="L119" s="113"/>
      <c r="M119" s="113"/>
      <c r="N119" s="113"/>
    </row>
    <row r="120" spans="1:14" s="8" customFormat="1" ht="16.5" customHeight="1">
      <c r="A120" s="142" t="s">
        <v>298</v>
      </c>
      <c r="B120" s="487"/>
      <c r="C120" s="115">
        <v>266</v>
      </c>
      <c r="D120" s="489">
        <v>901830000</v>
      </c>
      <c r="E120" s="115">
        <v>111</v>
      </c>
      <c r="F120" s="115">
        <v>266</v>
      </c>
      <c r="G120" s="500" t="s">
        <v>523</v>
      </c>
      <c r="H120" s="491">
        <f>I120+J120+K120+L120+M120+N120</f>
        <v>1000</v>
      </c>
      <c r="I120" s="485">
        <v>0</v>
      </c>
      <c r="J120" s="486">
        <v>1000</v>
      </c>
      <c r="K120" s="113"/>
      <c r="L120" s="113"/>
      <c r="M120" s="113"/>
      <c r="N120" s="113"/>
    </row>
    <row r="121" spans="1:14" s="8" customFormat="1" ht="16.5" customHeight="1">
      <c r="A121" s="142" t="s">
        <v>300</v>
      </c>
      <c r="B121" s="487"/>
      <c r="C121" s="392">
        <v>266</v>
      </c>
      <c r="D121" s="488" t="s">
        <v>522</v>
      </c>
      <c r="E121" s="392">
        <v>112</v>
      </c>
      <c r="F121" s="392">
        <v>266</v>
      </c>
      <c r="G121" s="490" t="s">
        <v>823</v>
      </c>
      <c r="H121" s="491">
        <f aca="true" t="shared" si="4" ref="H121:H132">I121+J121+K121+L121+M121+N121</f>
        <v>778.3</v>
      </c>
      <c r="I121" s="486">
        <v>778.3</v>
      </c>
      <c r="J121" s="125"/>
      <c r="K121" s="113"/>
      <c r="L121" s="113"/>
      <c r="M121" s="113"/>
      <c r="N121" s="113"/>
    </row>
    <row r="122" spans="1:14" s="8" customFormat="1" ht="16.5" customHeight="1">
      <c r="A122" s="142" t="s">
        <v>300</v>
      </c>
      <c r="B122" s="487"/>
      <c r="C122" s="392">
        <v>266</v>
      </c>
      <c r="D122" s="488" t="s">
        <v>522</v>
      </c>
      <c r="E122" s="392">
        <v>112</v>
      </c>
      <c r="F122" s="392">
        <v>266</v>
      </c>
      <c r="G122" s="490" t="s">
        <v>523</v>
      </c>
      <c r="H122" s="491">
        <f t="shared" si="4"/>
        <v>555</v>
      </c>
      <c r="I122" s="486">
        <v>555</v>
      </c>
      <c r="J122" s="125"/>
      <c r="K122" s="113"/>
      <c r="L122" s="113"/>
      <c r="M122" s="113"/>
      <c r="N122" s="113"/>
    </row>
    <row r="123" spans="1:14" s="8" customFormat="1" ht="54" customHeight="1">
      <c r="A123" s="142" t="s">
        <v>300</v>
      </c>
      <c r="B123" s="115"/>
      <c r="C123" s="115">
        <v>266</v>
      </c>
      <c r="D123" s="115">
        <v>901480000</v>
      </c>
      <c r="E123" s="115">
        <v>112</v>
      </c>
      <c r="F123" s="115">
        <v>266</v>
      </c>
      <c r="G123" s="117" t="s">
        <v>523</v>
      </c>
      <c r="H123" s="178">
        <f t="shared" si="4"/>
        <v>200000</v>
      </c>
      <c r="I123" s="179"/>
      <c r="J123" s="179">
        <v>200000</v>
      </c>
      <c r="K123" s="113"/>
      <c r="L123" s="113"/>
      <c r="M123" s="113"/>
      <c r="N123" s="113"/>
    </row>
    <row r="124" spans="1:14" s="8" customFormat="1" ht="54" customHeight="1" hidden="1">
      <c r="A124" s="142" t="s">
        <v>840</v>
      </c>
      <c r="B124" s="487"/>
      <c r="C124" s="392">
        <v>266</v>
      </c>
      <c r="D124" s="489">
        <v>901480000</v>
      </c>
      <c r="E124" s="392">
        <v>112</v>
      </c>
      <c r="F124" s="392">
        <v>266</v>
      </c>
      <c r="G124" s="500" t="s">
        <v>523</v>
      </c>
      <c r="H124" s="491">
        <f t="shared" si="4"/>
        <v>0</v>
      </c>
      <c r="I124" s="485">
        <v>0</v>
      </c>
      <c r="J124" s="486"/>
      <c r="K124" s="113"/>
      <c r="L124" s="113"/>
      <c r="M124" s="113"/>
      <c r="N124" s="113"/>
    </row>
    <row r="125" spans="1:14" s="8" customFormat="1" ht="54" customHeight="1">
      <c r="A125" s="142" t="s">
        <v>300</v>
      </c>
      <c r="B125" s="115"/>
      <c r="C125" s="115">
        <v>266</v>
      </c>
      <c r="D125" s="115">
        <v>901170000</v>
      </c>
      <c r="E125" s="115">
        <v>112</v>
      </c>
      <c r="F125" s="115">
        <v>266</v>
      </c>
      <c r="G125" s="117" t="s">
        <v>847</v>
      </c>
      <c r="H125" s="178">
        <f t="shared" si="4"/>
        <v>90000</v>
      </c>
      <c r="I125" s="179"/>
      <c r="J125" s="179">
        <v>90000</v>
      </c>
      <c r="K125" s="113"/>
      <c r="L125" s="113"/>
      <c r="M125" s="113"/>
      <c r="N125" s="113"/>
    </row>
    <row r="126" spans="1:14" s="8" customFormat="1" ht="54" customHeight="1">
      <c r="A126" s="114" t="s">
        <v>836</v>
      </c>
      <c r="B126" s="115"/>
      <c r="C126" s="115">
        <v>267</v>
      </c>
      <c r="D126" s="115">
        <v>901030000</v>
      </c>
      <c r="E126" s="115">
        <v>112</v>
      </c>
      <c r="F126" s="115">
        <v>267</v>
      </c>
      <c r="G126" s="500" t="s">
        <v>837</v>
      </c>
      <c r="H126" s="178">
        <f t="shared" si="4"/>
        <v>18079.2</v>
      </c>
      <c r="I126" s="179"/>
      <c r="J126" s="179">
        <f>9039.6*2</f>
        <v>18079.2</v>
      </c>
      <c r="K126" s="113"/>
      <c r="L126" s="113"/>
      <c r="M126" s="113"/>
      <c r="N126" s="113"/>
    </row>
    <row r="127" spans="1:14" s="8" customFormat="1" ht="54" customHeight="1">
      <c r="A127" s="114" t="s">
        <v>838</v>
      </c>
      <c r="B127" s="115"/>
      <c r="C127" s="115">
        <v>267</v>
      </c>
      <c r="D127" s="115">
        <v>901490000</v>
      </c>
      <c r="E127" s="115">
        <v>112</v>
      </c>
      <c r="F127" s="115">
        <v>267</v>
      </c>
      <c r="G127" s="500" t="s">
        <v>837</v>
      </c>
      <c r="H127" s="178">
        <f t="shared" si="4"/>
        <v>24105.6</v>
      </c>
      <c r="I127" s="179"/>
      <c r="J127" s="179">
        <f>12052.8*2</f>
        <v>24105.6</v>
      </c>
      <c r="K127" s="113"/>
      <c r="L127" s="113"/>
      <c r="M127" s="113"/>
      <c r="N127" s="113"/>
    </row>
    <row r="128" spans="1:14" s="8" customFormat="1" ht="54" customHeight="1" hidden="1">
      <c r="A128" s="114" t="s">
        <v>836</v>
      </c>
      <c r="B128" s="489"/>
      <c r="C128" s="489">
        <v>267</v>
      </c>
      <c r="D128" s="489">
        <v>901030000</v>
      </c>
      <c r="E128" s="489">
        <v>112</v>
      </c>
      <c r="F128" s="489">
        <v>267</v>
      </c>
      <c r="G128" s="500" t="s">
        <v>837</v>
      </c>
      <c r="H128" s="491">
        <f t="shared" si="4"/>
        <v>0</v>
      </c>
      <c r="I128" s="485">
        <v>0</v>
      </c>
      <c r="J128" s="485"/>
      <c r="K128" s="113"/>
      <c r="L128" s="113"/>
      <c r="M128" s="113"/>
      <c r="N128" s="113"/>
    </row>
    <row r="129" spans="1:14" s="8" customFormat="1" ht="54" customHeight="1" hidden="1">
      <c r="A129" s="114" t="s">
        <v>838</v>
      </c>
      <c r="B129" s="489"/>
      <c r="C129" s="489">
        <v>267</v>
      </c>
      <c r="D129" s="489">
        <v>901490000</v>
      </c>
      <c r="E129" s="489">
        <v>112</v>
      </c>
      <c r="F129" s="489">
        <v>267</v>
      </c>
      <c r="G129" s="500" t="s">
        <v>837</v>
      </c>
      <c r="H129" s="491">
        <f t="shared" si="4"/>
        <v>0</v>
      </c>
      <c r="I129" s="485">
        <v>0</v>
      </c>
      <c r="J129" s="485"/>
      <c r="K129" s="113"/>
      <c r="L129" s="113"/>
      <c r="M129" s="113"/>
      <c r="N129" s="113"/>
    </row>
    <row r="130" spans="1:14" s="8" customFormat="1" ht="15.75" customHeight="1">
      <c r="A130" s="142" t="s">
        <v>301</v>
      </c>
      <c r="B130" s="115"/>
      <c r="C130" s="115">
        <v>213</v>
      </c>
      <c r="D130" s="116" t="s">
        <v>522</v>
      </c>
      <c r="E130" s="115">
        <v>119</v>
      </c>
      <c r="F130" s="115">
        <v>213</v>
      </c>
      <c r="G130" s="102" t="s">
        <v>523</v>
      </c>
      <c r="H130" s="118">
        <f t="shared" si="4"/>
        <v>6080694.5</v>
      </c>
      <c r="I130" s="125">
        <f>5454169.51+68460.67-37278.14+595342.46</f>
        <v>6080694.5</v>
      </c>
      <c r="J130" s="125"/>
      <c r="K130" s="113"/>
      <c r="L130" s="113"/>
      <c r="M130" s="113"/>
      <c r="N130" s="113"/>
    </row>
    <row r="131" spans="1:14" s="8" customFormat="1" ht="15.75" customHeight="1">
      <c r="A131" s="142" t="s">
        <v>301</v>
      </c>
      <c r="B131" s="487"/>
      <c r="C131" s="489">
        <v>213</v>
      </c>
      <c r="D131" s="488" t="s">
        <v>522</v>
      </c>
      <c r="E131" s="489">
        <v>119</v>
      </c>
      <c r="F131" s="489">
        <v>213</v>
      </c>
      <c r="G131" s="490" t="s">
        <v>823</v>
      </c>
      <c r="H131" s="491">
        <f t="shared" si="4"/>
        <v>2501977.57</v>
      </c>
      <c r="I131" s="486">
        <v>2501977.57</v>
      </c>
      <c r="J131" s="125"/>
      <c r="K131" s="113"/>
      <c r="L131" s="113"/>
      <c r="M131" s="113"/>
      <c r="N131" s="113"/>
    </row>
    <row r="132" spans="1:14" s="8" customFormat="1" ht="15.75" customHeight="1" hidden="1">
      <c r="A132" s="142" t="s">
        <v>301</v>
      </c>
      <c r="B132" s="487"/>
      <c r="C132" s="487">
        <v>213</v>
      </c>
      <c r="D132" s="488" t="s">
        <v>522</v>
      </c>
      <c r="E132" s="489">
        <v>119</v>
      </c>
      <c r="F132" s="489">
        <v>213</v>
      </c>
      <c r="G132" s="490" t="s">
        <v>523</v>
      </c>
      <c r="H132" s="491">
        <f t="shared" si="4"/>
        <v>0</v>
      </c>
      <c r="I132" s="486"/>
      <c r="J132" s="125"/>
      <c r="K132" s="113"/>
      <c r="L132" s="113"/>
      <c r="M132" s="113"/>
      <c r="N132" s="113"/>
    </row>
    <row r="133" spans="1:14" s="8" customFormat="1" ht="15.75" customHeight="1">
      <c r="A133" s="142" t="s">
        <v>301</v>
      </c>
      <c r="B133" s="115"/>
      <c r="C133" s="115">
        <v>213</v>
      </c>
      <c r="D133" s="115">
        <v>901480000</v>
      </c>
      <c r="E133" s="115">
        <v>119</v>
      </c>
      <c r="F133" s="115">
        <v>213</v>
      </c>
      <c r="G133" s="102" t="s">
        <v>523</v>
      </c>
      <c r="H133" s="118">
        <f>SUM(I133:J133)</f>
        <v>588717.19</v>
      </c>
      <c r="I133" s="125"/>
      <c r="J133" s="125">
        <f>390087.28-2319.51+94932.3+106017.12</f>
        <v>588717.19</v>
      </c>
      <c r="K133" s="113"/>
      <c r="L133" s="113"/>
      <c r="M133" s="113"/>
      <c r="N133" s="113"/>
    </row>
    <row r="134" spans="1:14" s="8" customFormat="1" ht="15.75" customHeight="1">
      <c r="A134" s="142" t="s">
        <v>301</v>
      </c>
      <c r="B134" s="115"/>
      <c r="C134" s="115">
        <v>213</v>
      </c>
      <c r="D134" s="115">
        <v>901160000</v>
      </c>
      <c r="E134" s="115">
        <v>119</v>
      </c>
      <c r="F134" s="115">
        <v>213</v>
      </c>
      <c r="G134" s="102" t="s">
        <v>523</v>
      </c>
      <c r="H134" s="118">
        <f>SUM(I134:J134)</f>
        <v>256628.67</v>
      </c>
      <c r="I134" s="125"/>
      <c r="J134" s="125">
        <f>220270.73-1107.76+8392.73+29072.97</f>
        <v>256628.67</v>
      </c>
      <c r="K134" s="113"/>
      <c r="L134" s="113"/>
      <c r="M134" s="113"/>
      <c r="N134" s="113"/>
    </row>
    <row r="135" spans="1:14" s="8" customFormat="1" ht="15.75" customHeight="1">
      <c r="A135" s="142" t="s">
        <v>301</v>
      </c>
      <c r="B135" s="115"/>
      <c r="C135" s="115">
        <v>213</v>
      </c>
      <c r="D135" s="115">
        <v>901830000</v>
      </c>
      <c r="E135" s="115">
        <v>119</v>
      </c>
      <c r="F135" s="115">
        <v>213</v>
      </c>
      <c r="G135" s="102" t="s">
        <v>523</v>
      </c>
      <c r="H135" s="118">
        <f>SUM(I135:J135)</f>
        <v>159805.66999999998</v>
      </c>
      <c r="I135" s="125"/>
      <c r="J135" s="125">
        <f>123498.88-2.1+9306.89-1.03+27003.03</f>
        <v>159805.66999999998</v>
      </c>
      <c r="K135" s="113"/>
      <c r="L135" s="113"/>
      <c r="M135" s="113"/>
      <c r="N135" s="113"/>
    </row>
    <row r="136" spans="1:14" s="8" customFormat="1" ht="15.75" customHeight="1" hidden="1">
      <c r="A136" s="142" t="s">
        <v>301</v>
      </c>
      <c r="B136" s="487"/>
      <c r="C136" s="489">
        <v>213</v>
      </c>
      <c r="D136" s="489">
        <v>901480000</v>
      </c>
      <c r="E136" s="489">
        <v>119</v>
      </c>
      <c r="F136" s="489">
        <v>213</v>
      </c>
      <c r="G136" s="500" t="s">
        <v>523</v>
      </c>
      <c r="H136" s="491">
        <f>I136+J136+K136+L136+M136+N136</f>
        <v>0</v>
      </c>
      <c r="I136" s="485">
        <v>0</v>
      </c>
      <c r="J136" s="486"/>
      <c r="K136" s="113"/>
      <c r="L136" s="113"/>
      <c r="M136" s="113"/>
      <c r="N136" s="113"/>
    </row>
    <row r="137" spans="1:14" s="8" customFormat="1" ht="15.75" customHeight="1" hidden="1">
      <c r="A137" s="142" t="s">
        <v>301</v>
      </c>
      <c r="B137" s="487"/>
      <c r="C137" s="489">
        <v>213</v>
      </c>
      <c r="D137" s="489">
        <v>901160000</v>
      </c>
      <c r="E137" s="489">
        <v>119</v>
      </c>
      <c r="F137" s="489">
        <v>213</v>
      </c>
      <c r="G137" s="500" t="s">
        <v>523</v>
      </c>
      <c r="H137" s="491">
        <f>I137+J137+K137+L137+M137+N137</f>
        <v>0</v>
      </c>
      <c r="I137" s="485">
        <v>0</v>
      </c>
      <c r="J137" s="486"/>
      <c r="K137" s="113"/>
      <c r="L137" s="113"/>
      <c r="M137" s="113"/>
      <c r="N137" s="113"/>
    </row>
    <row r="138" spans="1:14" s="8" customFormat="1" ht="15.75" customHeight="1" hidden="1">
      <c r="A138" s="142" t="s">
        <v>301</v>
      </c>
      <c r="B138" s="487"/>
      <c r="C138" s="489">
        <v>213</v>
      </c>
      <c r="D138" s="489">
        <v>901830000</v>
      </c>
      <c r="E138" s="489">
        <v>119</v>
      </c>
      <c r="F138" s="489">
        <v>213</v>
      </c>
      <c r="G138" s="500" t="s">
        <v>523</v>
      </c>
      <c r="H138" s="491">
        <f>I138+J138+K138+L138+M138+N138</f>
        <v>0</v>
      </c>
      <c r="I138" s="485">
        <v>0</v>
      </c>
      <c r="J138" s="486"/>
      <c r="K138" s="113"/>
      <c r="L138" s="113"/>
      <c r="M138" s="113"/>
      <c r="N138" s="113"/>
    </row>
    <row r="139" spans="1:14" s="8" customFormat="1" ht="15.75" customHeight="1">
      <c r="A139" s="142" t="s">
        <v>301</v>
      </c>
      <c r="B139" s="487"/>
      <c r="C139" s="487">
        <v>213</v>
      </c>
      <c r="D139" s="498" t="s">
        <v>521</v>
      </c>
      <c r="E139" s="489">
        <v>119</v>
      </c>
      <c r="F139" s="489">
        <v>213</v>
      </c>
      <c r="G139" s="492" t="s">
        <v>530</v>
      </c>
      <c r="H139" s="491">
        <f>I139+J139+K139+L139+M139+N139</f>
        <v>111740</v>
      </c>
      <c r="I139" s="485">
        <v>0</v>
      </c>
      <c r="J139" s="485">
        <v>0</v>
      </c>
      <c r="K139" s="499">
        <v>0</v>
      </c>
      <c r="L139" s="499">
        <v>0</v>
      </c>
      <c r="M139" s="497">
        <v>111740</v>
      </c>
      <c r="N139" s="113"/>
    </row>
    <row r="140" spans="1:14" s="8" customFormat="1" ht="15.75" customHeight="1">
      <c r="A140" s="142" t="s">
        <v>301</v>
      </c>
      <c r="B140" s="115"/>
      <c r="C140" s="115">
        <v>213</v>
      </c>
      <c r="D140" s="116" t="s">
        <v>521</v>
      </c>
      <c r="E140" s="115">
        <v>119</v>
      </c>
      <c r="F140" s="115">
        <v>213</v>
      </c>
      <c r="G140" s="102" t="s">
        <v>530</v>
      </c>
      <c r="H140" s="118">
        <f>SUM(I140:M140)</f>
        <v>1616957.65</v>
      </c>
      <c r="I140" s="125"/>
      <c r="J140" s="125"/>
      <c r="K140" s="113"/>
      <c r="L140" s="113"/>
      <c r="M140" s="113">
        <v>1616957.65</v>
      </c>
      <c r="N140" s="113"/>
    </row>
    <row r="141" spans="1:14" s="161" customFormat="1" ht="23.25" customHeight="1">
      <c r="A141" s="156" t="s">
        <v>399</v>
      </c>
      <c r="B141" s="157">
        <v>220</v>
      </c>
      <c r="C141" s="157"/>
      <c r="D141" s="157"/>
      <c r="E141" s="157"/>
      <c r="F141" s="157"/>
      <c r="G141" s="157"/>
      <c r="H141" s="162">
        <f>SUM(I141:M141)</f>
        <v>1835929.9</v>
      </c>
      <c r="I141" s="163">
        <f>SUM(I143:I151)</f>
        <v>110000</v>
      </c>
      <c r="J141" s="163">
        <f>SUM(J143:J152)</f>
        <v>1725929.9</v>
      </c>
      <c r="K141" s="163">
        <f>K143+K146+K152+K153+K154</f>
        <v>0</v>
      </c>
      <c r="L141" s="163">
        <f>L143+L146+L152+L153+L154</f>
        <v>0</v>
      </c>
      <c r="M141" s="163">
        <f>M143+M146+M152+M153+M154</f>
        <v>0</v>
      </c>
      <c r="N141" s="163">
        <f>N143+N146+N152+N153+N154</f>
        <v>0</v>
      </c>
    </row>
    <row r="142" spans="1:14" s="8" customFormat="1" ht="13.5" customHeight="1">
      <c r="A142" s="142" t="s">
        <v>3</v>
      </c>
      <c r="B142" s="115"/>
      <c r="C142" s="115"/>
      <c r="D142" s="115"/>
      <c r="E142" s="115"/>
      <c r="F142" s="115"/>
      <c r="G142" s="122"/>
      <c r="H142" s="118"/>
      <c r="I142" s="125"/>
      <c r="J142" s="125"/>
      <c r="K142" s="113"/>
      <c r="L142" s="113"/>
      <c r="M142" s="113"/>
      <c r="N142" s="113"/>
    </row>
    <row r="143" spans="1:14" s="8" customFormat="1" ht="39" customHeight="1">
      <c r="A143" s="143" t="s">
        <v>302</v>
      </c>
      <c r="B143" s="144"/>
      <c r="C143" s="145">
        <v>263</v>
      </c>
      <c r="D143" s="115">
        <v>901140000</v>
      </c>
      <c r="E143" s="115">
        <v>323</v>
      </c>
      <c r="F143" s="145">
        <v>263</v>
      </c>
      <c r="G143" s="117" t="s">
        <v>523</v>
      </c>
      <c r="H143" s="118">
        <f aca="true" t="shared" si="5" ref="H143:H154">I143+J143+K143+L143+M143+N143</f>
        <v>182055.91999999998</v>
      </c>
      <c r="I143" s="125"/>
      <c r="J143" s="125">
        <f>124511+57544.92</f>
        <v>182055.91999999998</v>
      </c>
      <c r="K143" s="113"/>
      <c r="L143" s="113"/>
      <c r="M143" s="113"/>
      <c r="N143" s="113"/>
    </row>
    <row r="144" spans="1:14" s="8" customFormat="1" ht="39" customHeight="1">
      <c r="A144" s="143" t="s">
        <v>302</v>
      </c>
      <c r="B144" s="144"/>
      <c r="C144" s="145">
        <v>263</v>
      </c>
      <c r="D144" s="115">
        <v>901150000</v>
      </c>
      <c r="E144" s="115">
        <v>323</v>
      </c>
      <c r="F144" s="145">
        <v>263</v>
      </c>
      <c r="G144" s="117" t="s">
        <v>523</v>
      </c>
      <c r="H144" s="118">
        <f t="shared" si="5"/>
        <v>517204.98</v>
      </c>
      <c r="I144" s="125"/>
      <c r="J144" s="125">
        <f>449289.98+67915</f>
        <v>517204.98</v>
      </c>
      <c r="K144" s="113"/>
      <c r="L144" s="113"/>
      <c r="M144" s="113"/>
      <c r="N144" s="113"/>
    </row>
    <row r="145" spans="1:14" s="8" customFormat="1" ht="39" customHeight="1">
      <c r="A145" s="143" t="s">
        <v>302</v>
      </c>
      <c r="B145" s="144"/>
      <c r="C145" s="145">
        <v>263</v>
      </c>
      <c r="D145" s="115">
        <v>901210000</v>
      </c>
      <c r="E145" s="147">
        <v>323</v>
      </c>
      <c r="F145" s="145">
        <v>263</v>
      </c>
      <c r="G145" s="117" t="s">
        <v>518</v>
      </c>
      <c r="H145" s="118">
        <f t="shared" si="5"/>
        <v>982310</v>
      </c>
      <c r="I145" s="125"/>
      <c r="J145" s="125">
        <f>876777+105533</f>
        <v>982310</v>
      </c>
      <c r="K145" s="113"/>
      <c r="L145" s="113"/>
      <c r="M145" s="113"/>
      <c r="N145" s="113"/>
    </row>
    <row r="146" spans="1:14" s="8" customFormat="1" ht="32.25" customHeight="1">
      <c r="A146" s="136" t="s">
        <v>39</v>
      </c>
      <c r="B146" s="115"/>
      <c r="C146" s="115">
        <v>262</v>
      </c>
      <c r="D146" s="115">
        <v>901140000</v>
      </c>
      <c r="E146" s="115">
        <v>321</v>
      </c>
      <c r="F146" s="115">
        <v>262</v>
      </c>
      <c r="G146" s="146" t="s">
        <v>523</v>
      </c>
      <c r="H146" s="118">
        <f t="shared" si="5"/>
        <v>44359</v>
      </c>
      <c r="I146" s="125"/>
      <c r="J146" s="125">
        <f>30497+13862</f>
        <v>44359</v>
      </c>
      <c r="K146" s="113"/>
      <c r="L146" s="113"/>
      <c r="M146" s="113"/>
      <c r="N146" s="113"/>
    </row>
    <row r="147" spans="1:14" s="8" customFormat="1" ht="32.25" customHeight="1" hidden="1">
      <c r="A147" s="143" t="s">
        <v>302</v>
      </c>
      <c r="B147" s="503"/>
      <c r="C147" s="504">
        <v>262</v>
      </c>
      <c r="D147" s="489">
        <v>901140000</v>
      </c>
      <c r="E147" s="505">
        <v>321</v>
      </c>
      <c r="F147" s="504">
        <v>262</v>
      </c>
      <c r="G147" s="500" t="s">
        <v>523</v>
      </c>
      <c r="H147" s="491">
        <f t="shared" si="5"/>
        <v>0</v>
      </c>
      <c r="I147" s="485">
        <v>0</v>
      </c>
      <c r="J147" s="486"/>
      <c r="K147" s="113"/>
      <c r="L147" s="113"/>
      <c r="M147" s="113"/>
      <c r="N147" s="113"/>
    </row>
    <row r="148" spans="1:14" s="8" customFormat="1" ht="32.25" customHeight="1" hidden="1">
      <c r="A148" s="114" t="s">
        <v>831</v>
      </c>
      <c r="B148" s="487"/>
      <c r="C148" s="489">
        <v>263</v>
      </c>
      <c r="D148" s="489">
        <v>901140000</v>
      </c>
      <c r="E148" s="489">
        <v>323</v>
      </c>
      <c r="F148" s="489">
        <v>263</v>
      </c>
      <c r="G148" s="500" t="s">
        <v>523</v>
      </c>
      <c r="H148" s="491">
        <f t="shared" si="5"/>
        <v>0</v>
      </c>
      <c r="I148" s="485">
        <v>0</v>
      </c>
      <c r="J148" s="486"/>
      <c r="K148" s="113"/>
      <c r="L148" s="113"/>
      <c r="M148" s="113"/>
      <c r="N148" s="113"/>
    </row>
    <row r="149" spans="1:14" s="8" customFormat="1" ht="32.25" customHeight="1" hidden="1">
      <c r="A149" s="114" t="s">
        <v>833</v>
      </c>
      <c r="B149" s="487"/>
      <c r="C149" s="489">
        <v>263</v>
      </c>
      <c r="D149" s="489">
        <v>901150000</v>
      </c>
      <c r="E149" s="489">
        <v>323</v>
      </c>
      <c r="F149" s="489">
        <v>263</v>
      </c>
      <c r="G149" s="500" t="s">
        <v>523</v>
      </c>
      <c r="H149" s="491">
        <f t="shared" si="5"/>
        <v>0</v>
      </c>
      <c r="I149" s="485">
        <v>0</v>
      </c>
      <c r="J149" s="486"/>
      <c r="K149" s="113"/>
      <c r="L149" s="113"/>
      <c r="M149" s="113"/>
      <c r="N149" s="113"/>
    </row>
    <row r="150" spans="1:14" s="8" customFormat="1" ht="32.25" customHeight="1" hidden="1">
      <c r="A150" s="114" t="s">
        <v>241</v>
      </c>
      <c r="B150" s="487"/>
      <c r="C150" s="489">
        <v>263</v>
      </c>
      <c r="D150" s="502">
        <v>901210000</v>
      </c>
      <c r="E150" s="489">
        <v>323</v>
      </c>
      <c r="F150" s="489">
        <v>263</v>
      </c>
      <c r="G150" s="492" t="s">
        <v>518</v>
      </c>
      <c r="H150" s="491">
        <f t="shared" si="5"/>
        <v>0</v>
      </c>
      <c r="I150" s="485">
        <v>0</v>
      </c>
      <c r="J150" s="486"/>
      <c r="K150" s="113"/>
      <c r="L150" s="113"/>
      <c r="M150" s="113"/>
      <c r="N150" s="113"/>
    </row>
    <row r="151" spans="1:14" s="8" customFormat="1" ht="38.25" customHeight="1">
      <c r="A151" s="404" t="s">
        <v>760</v>
      </c>
      <c r="B151" s="115"/>
      <c r="C151" s="115">
        <v>264</v>
      </c>
      <c r="D151" s="115">
        <v>800000000</v>
      </c>
      <c r="E151" s="115">
        <v>321</v>
      </c>
      <c r="F151" s="115">
        <v>264</v>
      </c>
      <c r="G151" s="146" t="s">
        <v>523</v>
      </c>
      <c r="H151" s="118">
        <f t="shared" si="5"/>
        <v>110000</v>
      </c>
      <c r="I151" s="125">
        <v>110000</v>
      </c>
      <c r="J151" s="125"/>
      <c r="K151" s="113"/>
      <c r="L151" s="113"/>
      <c r="M151" s="113"/>
      <c r="N151" s="113"/>
    </row>
    <row r="152" spans="1:14" s="8" customFormat="1" ht="15.75" customHeight="1">
      <c r="A152" s="136" t="s">
        <v>303</v>
      </c>
      <c r="B152" s="115"/>
      <c r="C152" s="115"/>
      <c r="D152" s="115"/>
      <c r="E152" s="115"/>
      <c r="F152" s="115"/>
      <c r="G152" s="122"/>
      <c r="H152" s="118">
        <f t="shared" si="5"/>
        <v>0</v>
      </c>
      <c r="I152" s="125"/>
      <c r="J152" s="125"/>
      <c r="K152" s="113"/>
      <c r="L152" s="113"/>
      <c r="M152" s="113"/>
      <c r="N152" s="113"/>
    </row>
    <row r="153" spans="1:14" s="8" customFormat="1" ht="15.75" customHeight="1">
      <c r="A153" s="136" t="s">
        <v>304</v>
      </c>
      <c r="B153" s="115"/>
      <c r="C153" s="115">
        <v>290</v>
      </c>
      <c r="D153" s="115"/>
      <c r="E153" s="115">
        <v>350</v>
      </c>
      <c r="F153" s="115">
        <v>290</v>
      </c>
      <c r="G153" s="122"/>
      <c r="H153" s="118">
        <f t="shared" si="5"/>
        <v>0</v>
      </c>
      <c r="I153" s="125"/>
      <c r="J153" s="125"/>
      <c r="K153" s="113"/>
      <c r="L153" s="113"/>
      <c r="M153" s="113"/>
      <c r="N153" s="113"/>
    </row>
    <row r="154" spans="1:14" s="8" customFormat="1" ht="15.75" customHeight="1">
      <c r="A154" s="136" t="s">
        <v>305</v>
      </c>
      <c r="B154" s="115"/>
      <c r="C154" s="115"/>
      <c r="D154" s="115"/>
      <c r="E154" s="115"/>
      <c r="F154" s="115"/>
      <c r="G154" s="122"/>
      <c r="H154" s="118">
        <f t="shared" si="5"/>
        <v>0</v>
      </c>
      <c r="I154" s="125"/>
      <c r="J154" s="125"/>
      <c r="K154" s="113"/>
      <c r="L154" s="113"/>
      <c r="M154" s="113"/>
      <c r="N154" s="113"/>
    </row>
    <row r="155" spans="1:14" s="161" customFormat="1" ht="21.75" customHeight="1">
      <c r="A155" s="164" t="s">
        <v>306</v>
      </c>
      <c r="B155" s="157">
        <v>230</v>
      </c>
      <c r="C155" s="157"/>
      <c r="D155" s="157"/>
      <c r="E155" s="157"/>
      <c r="F155" s="157"/>
      <c r="G155" s="158"/>
      <c r="H155" s="159">
        <f>H156</f>
        <v>4507383</v>
      </c>
      <c r="I155" s="159">
        <f>I156</f>
        <v>4045637</v>
      </c>
      <c r="J155" s="159">
        <f>J156</f>
        <v>0</v>
      </c>
      <c r="K155" s="160">
        <f>K156+K159</f>
        <v>0</v>
      </c>
      <c r="L155" s="160">
        <f>L156+L159</f>
        <v>0</v>
      </c>
      <c r="M155" s="159">
        <f>M156</f>
        <v>461746</v>
      </c>
      <c r="N155" s="159">
        <f>N156</f>
        <v>0</v>
      </c>
    </row>
    <row r="156" spans="1:14" s="8" customFormat="1" ht="15.75" customHeight="1">
      <c r="A156" s="142" t="s">
        <v>3</v>
      </c>
      <c r="B156" s="115"/>
      <c r="C156" s="115"/>
      <c r="D156" s="115"/>
      <c r="E156" s="115"/>
      <c r="F156" s="115"/>
      <c r="G156" s="122"/>
      <c r="H156" s="118">
        <f>H157+H158</f>
        <v>4507383</v>
      </c>
      <c r="I156" s="125">
        <f aca="true" t="shared" si="6" ref="I156:N156">I157+I158</f>
        <v>4045637</v>
      </c>
      <c r="J156" s="125">
        <f t="shared" si="6"/>
        <v>0</v>
      </c>
      <c r="K156" s="125">
        <f t="shared" si="6"/>
        <v>0</v>
      </c>
      <c r="L156" s="125">
        <f t="shared" si="6"/>
        <v>0</v>
      </c>
      <c r="M156" s="125">
        <f>M157+M158</f>
        <v>461746</v>
      </c>
      <c r="N156" s="125">
        <f t="shared" si="6"/>
        <v>0</v>
      </c>
    </row>
    <row r="157" spans="1:14" s="8" customFormat="1" ht="15.75" customHeight="1">
      <c r="A157" s="142" t="s">
        <v>307</v>
      </c>
      <c r="B157" s="115"/>
      <c r="C157" s="115">
        <v>290</v>
      </c>
      <c r="D157" s="115"/>
      <c r="E157" s="115">
        <v>831</v>
      </c>
      <c r="F157" s="115">
        <v>290</v>
      </c>
      <c r="G157" s="122"/>
      <c r="H157" s="118">
        <f>I157+J157+K157+L157+M157+N157</f>
        <v>0</v>
      </c>
      <c r="I157" s="125"/>
      <c r="J157" s="125"/>
      <c r="K157" s="113"/>
      <c r="L157" s="113"/>
      <c r="M157" s="113"/>
      <c r="N157" s="113"/>
    </row>
    <row r="158" spans="1:14" s="8" customFormat="1" ht="15.75" customHeight="1">
      <c r="A158" s="142" t="s">
        <v>308</v>
      </c>
      <c r="B158" s="115"/>
      <c r="C158" s="115">
        <v>290</v>
      </c>
      <c r="D158" s="115"/>
      <c r="E158" s="115">
        <v>850</v>
      </c>
      <c r="F158" s="115">
        <v>290</v>
      </c>
      <c r="G158" s="122"/>
      <c r="H158" s="118">
        <f>SUM(H160:H170)</f>
        <v>4507383</v>
      </c>
      <c r="I158" s="118">
        <f>SUM(I160:I170)</f>
        <v>4045637</v>
      </c>
      <c r="J158" s="125"/>
      <c r="K158" s="113"/>
      <c r="L158" s="113"/>
      <c r="M158" s="118">
        <f>SUM(M160:M170)</f>
        <v>461746</v>
      </c>
      <c r="N158" s="113"/>
    </row>
    <row r="159" spans="1:14" s="8" customFormat="1" ht="15.75" customHeight="1">
      <c r="A159" s="142" t="s">
        <v>4</v>
      </c>
      <c r="B159" s="115"/>
      <c r="C159" s="115"/>
      <c r="D159" s="115"/>
      <c r="E159" s="115"/>
      <c r="F159" s="115"/>
      <c r="G159" s="122"/>
      <c r="H159" s="118"/>
      <c r="I159" s="125"/>
      <c r="J159" s="125"/>
      <c r="K159" s="125">
        <f>K160+K164+K165+K166+K167+K168+K169+K170</f>
        <v>0</v>
      </c>
      <c r="L159" s="125">
        <f>L160+L164+L165+L166+L167+L168+L169+L170</f>
        <v>0</v>
      </c>
      <c r="M159" s="125"/>
      <c r="N159" s="125"/>
    </row>
    <row r="160" spans="1:14" s="8" customFormat="1" ht="26.25" customHeight="1">
      <c r="A160" s="142" t="s">
        <v>309</v>
      </c>
      <c r="B160" s="115"/>
      <c r="C160" s="115">
        <v>291</v>
      </c>
      <c r="D160" s="116" t="s">
        <v>522</v>
      </c>
      <c r="E160" s="115">
        <v>851</v>
      </c>
      <c r="F160" s="115">
        <v>291</v>
      </c>
      <c r="G160" s="117" t="s">
        <v>516</v>
      </c>
      <c r="H160" s="118">
        <f>I160+J160+K160+L160+M160+N160</f>
        <v>4041887</v>
      </c>
      <c r="I160" s="125">
        <f>'ФЭО МЗ'!H153+1082174</f>
        <v>4041887</v>
      </c>
      <c r="J160" s="125"/>
      <c r="K160" s="113"/>
      <c r="L160" s="113"/>
      <c r="M160" s="113">
        <v>0</v>
      </c>
      <c r="N160" s="113"/>
    </row>
    <row r="161" spans="1:14" s="8" customFormat="1" ht="26.25" customHeight="1" hidden="1">
      <c r="A161" s="142" t="s">
        <v>309</v>
      </c>
      <c r="B161" s="487"/>
      <c r="C161" s="489">
        <v>291</v>
      </c>
      <c r="D161" s="488" t="s">
        <v>522</v>
      </c>
      <c r="E161" s="489">
        <v>851</v>
      </c>
      <c r="F161" s="489">
        <v>291</v>
      </c>
      <c r="G161" s="492" t="s">
        <v>516</v>
      </c>
      <c r="H161" s="491">
        <f>SUM(I161:N161)</f>
        <v>0</v>
      </c>
      <c r="I161" s="486"/>
      <c r="J161" s="125"/>
      <c r="K161" s="113"/>
      <c r="L161" s="113"/>
      <c r="M161" s="113"/>
      <c r="N161" s="113"/>
    </row>
    <row r="162" spans="1:14" s="8" customFormat="1" ht="26.25" customHeight="1">
      <c r="A162" s="142" t="s">
        <v>309</v>
      </c>
      <c r="B162" s="115"/>
      <c r="C162" s="115">
        <v>291</v>
      </c>
      <c r="D162" s="116" t="s">
        <v>521</v>
      </c>
      <c r="E162" s="115">
        <v>851</v>
      </c>
      <c r="F162" s="115">
        <v>291</v>
      </c>
      <c r="G162" s="117" t="s">
        <v>530</v>
      </c>
      <c r="H162" s="118">
        <f>I162+J162+K162+L162+M162+N162</f>
        <v>354718</v>
      </c>
      <c r="I162" s="125">
        <v>0</v>
      </c>
      <c r="J162" s="125"/>
      <c r="K162" s="113"/>
      <c r="L162" s="113"/>
      <c r="M162" s="113">
        <v>354718</v>
      </c>
      <c r="N162" s="113"/>
    </row>
    <row r="163" spans="1:14" s="8" customFormat="1" ht="26.25" customHeight="1">
      <c r="A163" s="142" t="s">
        <v>309</v>
      </c>
      <c r="B163" s="487"/>
      <c r="C163" s="489">
        <v>291</v>
      </c>
      <c r="D163" s="488" t="s">
        <v>521</v>
      </c>
      <c r="E163" s="489">
        <v>851</v>
      </c>
      <c r="F163" s="489">
        <v>291</v>
      </c>
      <c r="G163" s="492" t="s">
        <v>530</v>
      </c>
      <c r="H163" s="491">
        <f>I163+J163+K163+L163+M163+N163</f>
        <v>45028</v>
      </c>
      <c r="I163" s="485">
        <v>0</v>
      </c>
      <c r="J163" s="485">
        <v>0</v>
      </c>
      <c r="K163" s="499">
        <v>0</v>
      </c>
      <c r="L163" s="499">
        <v>0</v>
      </c>
      <c r="M163" s="497">
        <v>45028</v>
      </c>
      <c r="N163" s="113"/>
    </row>
    <row r="164" spans="1:15" s="8" customFormat="1" ht="15" customHeight="1">
      <c r="A164" s="142" t="s">
        <v>357</v>
      </c>
      <c r="B164" s="115"/>
      <c r="C164" s="115">
        <v>291</v>
      </c>
      <c r="D164" s="116" t="s">
        <v>522</v>
      </c>
      <c r="E164" s="115">
        <v>852</v>
      </c>
      <c r="F164" s="115">
        <v>291</v>
      </c>
      <c r="G164" s="117" t="s">
        <v>516</v>
      </c>
      <c r="H164" s="118">
        <f aca="true" t="shared" si="7" ref="H164:H171">I164+J164+K164+L164+M164+N164</f>
        <v>3750</v>
      </c>
      <c r="I164" s="125">
        <v>3750</v>
      </c>
      <c r="J164" s="125"/>
      <c r="K164" s="113"/>
      <c r="L164" s="113"/>
      <c r="M164" s="113"/>
      <c r="N164" s="113"/>
      <c r="O164" s="8" t="s">
        <v>378</v>
      </c>
    </row>
    <row r="165" spans="1:15" s="8" customFormat="1" ht="15" customHeight="1">
      <c r="A165" s="142" t="s">
        <v>310</v>
      </c>
      <c r="B165" s="115"/>
      <c r="C165" s="115">
        <v>291</v>
      </c>
      <c r="D165" s="115"/>
      <c r="E165" s="115">
        <v>853</v>
      </c>
      <c r="F165" s="115">
        <v>291</v>
      </c>
      <c r="G165" s="122"/>
      <c r="H165" s="118">
        <f t="shared" si="7"/>
        <v>0</v>
      </c>
      <c r="I165" s="125"/>
      <c r="J165" s="125"/>
      <c r="K165" s="113"/>
      <c r="L165" s="113"/>
      <c r="M165" s="113"/>
      <c r="N165" s="113"/>
      <c r="O165" s="8" t="s">
        <v>379</v>
      </c>
    </row>
    <row r="166" spans="1:14" s="8" customFormat="1" ht="39.75" customHeight="1">
      <c r="A166" s="142" t="s">
        <v>358</v>
      </c>
      <c r="B166" s="392"/>
      <c r="C166" s="392">
        <v>292</v>
      </c>
      <c r="D166" s="393" t="s">
        <v>521</v>
      </c>
      <c r="E166" s="392">
        <v>853</v>
      </c>
      <c r="F166" s="392">
        <v>292</v>
      </c>
      <c r="G166" s="102" t="s">
        <v>530</v>
      </c>
      <c r="H166" s="118">
        <f t="shared" si="7"/>
        <v>3000</v>
      </c>
      <c r="I166" s="125"/>
      <c r="J166" s="125"/>
      <c r="K166" s="113"/>
      <c r="L166" s="113"/>
      <c r="M166" s="113">
        <v>3000</v>
      </c>
      <c r="N166" s="113"/>
    </row>
    <row r="167" spans="1:14" s="8" customFormat="1" ht="31.5" customHeight="1">
      <c r="A167" s="142" t="s">
        <v>359</v>
      </c>
      <c r="B167" s="115"/>
      <c r="C167" s="115">
        <v>293</v>
      </c>
      <c r="D167" s="115"/>
      <c r="E167" s="115">
        <v>853</v>
      </c>
      <c r="F167" s="115">
        <v>293</v>
      </c>
      <c r="G167" s="122"/>
      <c r="H167" s="118">
        <f t="shared" si="7"/>
        <v>0</v>
      </c>
      <c r="I167" s="125"/>
      <c r="J167" s="125"/>
      <c r="K167" s="113"/>
      <c r="L167" s="113"/>
      <c r="M167" s="113"/>
      <c r="N167" s="113"/>
    </row>
    <row r="168" spans="1:14" s="8" customFormat="1" ht="26.25" customHeight="1">
      <c r="A168" s="142" t="s">
        <v>360</v>
      </c>
      <c r="B168" s="115"/>
      <c r="C168" s="115">
        <v>294</v>
      </c>
      <c r="D168" s="115"/>
      <c r="E168" s="115">
        <v>853</v>
      </c>
      <c r="F168" s="115">
        <v>294</v>
      </c>
      <c r="G168" s="122"/>
      <c r="H168" s="118">
        <f t="shared" si="7"/>
        <v>0</v>
      </c>
      <c r="I168" s="125"/>
      <c r="J168" s="125"/>
      <c r="K168" s="113"/>
      <c r="L168" s="113"/>
      <c r="M168" s="113"/>
      <c r="N168" s="113"/>
    </row>
    <row r="169" spans="1:14" s="8" customFormat="1" ht="20.25" customHeight="1">
      <c r="A169" s="142" t="s">
        <v>361</v>
      </c>
      <c r="B169" s="487"/>
      <c r="C169" s="487">
        <v>295</v>
      </c>
      <c r="D169" s="488" t="s">
        <v>521</v>
      </c>
      <c r="E169" s="487">
        <v>853</v>
      </c>
      <c r="F169" s="487">
        <v>295</v>
      </c>
      <c r="G169" s="492" t="s">
        <v>530</v>
      </c>
      <c r="H169" s="491">
        <f t="shared" si="7"/>
        <v>30000</v>
      </c>
      <c r="I169" s="485">
        <v>0</v>
      </c>
      <c r="J169" s="485">
        <v>0</v>
      </c>
      <c r="K169" s="499">
        <v>0</v>
      </c>
      <c r="L169" s="499">
        <v>0</v>
      </c>
      <c r="M169" s="497">
        <v>30000</v>
      </c>
      <c r="N169" s="113"/>
    </row>
    <row r="170" spans="1:14" s="8" customFormat="1" ht="16.5" customHeight="1">
      <c r="A170" s="142" t="s">
        <v>362</v>
      </c>
      <c r="B170" s="115"/>
      <c r="C170" s="115">
        <v>297</v>
      </c>
      <c r="D170" s="393" t="s">
        <v>521</v>
      </c>
      <c r="E170" s="115">
        <v>853</v>
      </c>
      <c r="F170" s="115">
        <v>297</v>
      </c>
      <c r="G170" s="102" t="s">
        <v>530</v>
      </c>
      <c r="H170" s="118">
        <f t="shared" si="7"/>
        <v>29000</v>
      </c>
      <c r="I170" s="125"/>
      <c r="J170" s="125"/>
      <c r="K170" s="113"/>
      <c r="L170" s="113"/>
      <c r="M170" s="113">
        <f>28000+1000</f>
        <v>29000</v>
      </c>
      <c r="N170" s="113"/>
    </row>
    <row r="171" spans="1:14" s="8" customFormat="1" ht="15.75" customHeight="1">
      <c r="A171" s="142" t="s">
        <v>311</v>
      </c>
      <c r="B171" s="115">
        <v>240</v>
      </c>
      <c r="C171" s="115"/>
      <c r="D171" s="115"/>
      <c r="E171" s="115"/>
      <c r="F171" s="115"/>
      <c r="G171" s="122"/>
      <c r="H171" s="118">
        <f t="shared" si="7"/>
        <v>0</v>
      </c>
      <c r="I171" s="125"/>
      <c r="J171" s="125"/>
      <c r="K171" s="113"/>
      <c r="L171" s="113"/>
      <c r="M171" s="113"/>
      <c r="N171" s="113"/>
    </row>
    <row r="172" spans="1:14" s="8" customFormat="1" ht="28.5" customHeight="1">
      <c r="A172" s="136" t="s">
        <v>312</v>
      </c>
      <c r="B172" s="115">
        <v>250</v>
      </c>
      <c r="C172" s="115"/>
      <c r="D172" s="115"/>
      <c r="E172" s="115"/>
      <c r="F172" s="115"/>
      <c r="G172" s="122"/>
      <c r="H172" s="118">
        <f>H174+H175</f>
        <v>0</v>
      </c>
      <c r="I172" s="125">
        <f aca="true" t="shared" si="8" ref="I172:N172">I174+I175</f>
        <v>0</v>
      </c>
      <c r="J172" s="125">
        <f t="shared" si="8"/>
        <v>0</v>
      </c>
      <c r="K172" s="125">
        <f t="shared" si="8"/>
        <v>0</v>
      </c>
      <c r="L172" s="125">
        <f t="shared" si="8"/>
        <v>0</v>
      </c>
      <c r="M172" s="125">
        <f t="shared" si="8"/>
        <v>0</v>
      </c>
      <c r="N172" s="125">
        <f t="shared" si="8"/>
        <v>0</v>
      </c>
    </row>
    <row r="173" spans="1:14" s="8" customFormat="1" ht="11.25" customHeight="1">
      <c r="A173" s="142" t="s">
        <v>4</v>
      </c>
      <c r="B173" s="115"/>
      <c r="C173" s="115"/>
      <c r="D173" s="115"/>
      <c r="E173" s="115"/>
      <c r="F173" s="115"/>
      <c r="G173" s="122"/>
      <c r="H173" s="118"/>
      <c r="I173" s="125"/>
      <c r="J173" s="125"/>
      <c r="K173" s="113"/>
      <c r="L173" s="113"/>
      <c r="M173" s="113"/>
      <c r="N173" s="113"/>
    </row>
    <row r="174" spans="1:14" s="8" customFormat="1" ht="23.25" customHeight="1">
      <c r="A174" s="136" t="s">
        <v>313</v>
      </c>
      <c r="B174" s="115"/>
      <c r="C174" s="115"/>
      <c r="D174" s="115"/>
      <c r="E174" s="115"/>
      <c r="F174" s="115"/>
      <c r="G174" s="122"/>
      <c r="H174" s="118">
        <f>I174+J174+K174+L174+M174+N174</f>
        <v>0</v>
      </c>
      <c r="I174" s="125"/>
      <c r="J174" s="125"/>
      <c r="K174" s="113"/>
      <c r="L174" s="113"/>
      <c r="M174" s="113"/>
      <c r="N174" s="113"/>
    </row>
    <row r="175" spans="1:14" s="8" customFormat="1" ht="34.5" customHeight="1">
      <c r="A175" s="142" t="s">
        <v>314</v>
      </c>
      <c r="B175" s="115"/>
      <c r="C175" s="115"/>
      <c r="D175" s="115"/>
      <c r="E175" s="115"/>
      <c r="F175" s="115"/>
      <c r="G175" s="122"/>
      <c r="H175" s="118">
        <f>I175+J175+K175+L175+M175+N175</f>
        <v>0</v>
      </c>
      <c r="I175" s="125"/>
      <c r="J175" s="125"/>
      <c r="K175" s="125"/>
      <c r="L175" s="125"/>
      <c r="M175" s="125"/>
      <c r="N175" s="113"/>
    </row>
    <row r="176" spans="1:14" s="161" customFormat="1" ht="21" customHeight="1">
      <c r="A176" s="156" t="s">
        <v>315</v>
      </c>
      <c r="B176" s="157">
        <v>260</v>
      </c>
      <c r="C176" s="157"/>
      <c r="D176" s="157"/>
      <c r="E176" s="157"/>
      <c r="F176" s="157"/>
      <c r="G176" s="158"/>
      <c r="H176" s="159">
        <f>I176+J176+M176</f>
        <v>20963322.95</v>
      </c>
      <c r="I176" s="160">
        <f>SUM(I178:I185)+SUM(I203:I219)+I220+I240</f>
        <v>9877211.44</v>
      </c>
      <c r="J176" s="160">
        <f>J178+J184+J185+J203+J204+J213+J219+J220+J239+J240+J258</f>
        <v>299594.57</v>
      </c>
      <c r="K176" s="160">
        <f>K178+K184+K185+K203+K204+K213+K219+K220+K239+K240+K258</f>
        <v>0</v>
      </c>
      <c r="L176" s="160">
        <f>L178+L184+L185+L203+L204+L213+L219+L220+L239+L240+L258</f>
        <v>0</v>
      </c>
      <c r="M176" s="160">
        <f>SUM(M178:M185)+SUM(M203:M219)+M220+M240</f>
        <v>10786516.94</v>
      </c>
      <c r="N176" s="160">
        <f>N178+N184+N185+N203+N204+N213+N219+N220+N239+N240+N258</f>
        <v>0</v>
      </c>
    </row>
    <row r="177" spans="1:14" s="41" customFormat="1" ht="15.75" customHeight="1">
      <c r="A177" s="142" t="s">
        <v>4</v>
      </c>
      <c r="B177" s="148"/>
      <c r="C177" s="115"/>
      <c r="D177" s="148"/>
      <c r="E177" s="148"/>
      <c r="F177" s="115"/>
      <c r="G177" s="122"/>
      <c r="H177" s="118"/>
      <c r="I177" s="118"/>
      <c r="J177" s="118"/>
      <c r="K177" s="118"/>
      <c r="L177" s="118"/>
      <c r="M177" s="118"/>
      <c r="N177" s="118"/>
    </row>
    <row r="178" spans="1:14" s="8" customFormat="1" ht="16.5" customHeight="1">
      <c r="A178" s="142" t="s">
        <v>316</v>
      </c>
      <c r="B178" s="115"/>
      <c r="C178" s="115">
        <v>221</v>
      </c>
      <c r="D178" s="116" t="s">
        <v>522</v>
      </c>
      <c r="E178" s="115">
        <v>244</v>
      </c>
      <c r="F178" s="115">
        <v>221</v>
      </c>
      <c r="G178" s="102" t="s">
        <v>531</v>
      </c>
      <c r="H178" s="118">
        <f>I178+J178+M178</f>
        <v>74644.09</v>
      </c>
      <c r="I178" s="125">
        <f>72000+2644.09</f>
        <v>74644.09</v>
      </c>
      <c r="J178" s="125"/>
      <c r="K178" s="113"/>
      <c r="L178" s="113"/>
      <c r="M178" s="113"/>
      <c r="N178" s="113"/>
    </row>
    <row r="179" spans="1:14" s="8" customFormat="1" ht="16.5" customHeight="1">
      <c r="A179" s="142" t="s">
        <v>316</v>
      </c>
      <c r="B179" s="115"/>
      <c r="C179" s="115">
        <v>221</v>
      </c>
      <c r="D179" s="116" t="s">
        <v>522</v>
      </c>
      <c r="E179" s="115">
        <v>244</v>
      </c>
      <c r="F179" s="115">
        <v>221</v>
      </c>
      <c r="G179" s="102" t="s">
        <v>532</v>
      </c>
      <c r="H179" s="118">
        <f>I179+J179+M179</f>
        <v>87800.1</v>
      </c>
      <c r="I179" s="125">
        <f>32000.1+55800</f>
        <v>87800.1</v>
      </c>
      <c r="J179" s="125"/>
      <c r="K179" s="113"/>
      <c r="L179" s="113"/>
      <c r="M179" s="113"/>
      <c r="N179" s="113"/>
    </row>
    <row r="180" spans="1:14" s="8" customFormat="1" ht="16.5" customHeight="1" hidden="1">
      <c r="A180" s="142" t="s">
        <v>316</v>
      </c>
      <c r="B180" s="487"/>
      <c r="C180" s="489">
        <v>221</v>
      </c>
      <c r="D180" s="488" t="s">
        <v>522</v>
      </c>
      <c r="E180" s="489">
        <v>244</v>
      </c>
      <c r="F180" s="489">
        <v>221</v>
      </c>
      <c r="G180" s="180" t="s">
        <v>531</v>
      </c>
      <c r="H180" s="491">
        <f>I180+J180+K180+L180+M180+N180</f>
        <v>0</v>
      </c>
      <c r="I180" s="486"/>
      <c r="J180" s="125"/>
      <c r="K180" s="113"/>
      <c r="L180" s="113"/>
      <c r="M180" s="113"/>
      <c r="N180" s="113"/>
    </row>
    <row r="181" spans="1:14" s="8" customFormat="1" ht="16.5" customHeight="1">
      <c r="A181" s="142" t="s">
        <v>824</v>
      </c>
      <c r="B181" s="487"/>
      <c r="C181" s="489">
        <v>221</v>
      </c>
      <c r="D181" s="488" t="s">
        <v>522</v>
      </c>
      <c r="E181" s="489">
        <v>244</v>
      </c>
      <c r="F181" s="489">
        <v>221</v>
      </c>
      <c r="G181" s="563" t="s">
        <v>825</v>
      </c>
      <c r="H181" s="491">
        <f>I181+J181+K181+L181+M181+N181</f>
        <v>45806.4</v>
      </c>
      <c r="I181" s="486">
        <v>45806.4</v>
      </c>
      <c r="J181" s="125"/>
      <c r="K181" s="113"/>
      <c r="L181" s="113"/>
      <c r="M181" s="113"/>
      <c r="N181" s="113"/>
    </row>
    <row r="182" spans="1:14" s="8" customFormat="1" ht="16.5" customHeight="1" hidden="1">
      <c r="A182" s="142" t="s">
        <v>316</v>
      </c>
      <c r="B182" s="487"/>
      <c r="C182" s="489">
        <v>221</v>
      </c>
      <c r="D182" s="489">
        <v>800000000</v>
      </c>
      <c r="E182" s="489">
        <v>244</v>
      </c>
      <c r="F182" s="489">
        <v>221</v>
      </c>
      <c r="G182" s="563" t="s">
        <v>532</v>
      </c>
      <c r="H182" s="491">
        <f>I182+J182+K182+L182+M182+N182</f>
        <v>0</v>
      </c>
      <c r="I182" s="486"/>
      <c r="J182" s="125"/>
      <c r="K182" s="113"/>
      <c r="L182" s="113"/>
      <c r="M182" s="113"/>
      <c r="N182" s="113"/>
    </row>
    <row r="183" spans="1:14" s="8" customFormat="1" ht="16.5" customHeight="1">
      <c r="A183" s="142" t="s">
        <v>316</v>
      </c>
      <c r="B183" s="115"/>
      <c r="C183" s="115">
        <v>221</v>
      </c>
      <c r="D183" s="116" t="s">
        <v>521</v>
      </c>
      <c r="E183" s="115">
        <v>244</v>
      </c>
      <c r="F183" s="115">
        <v>221</v>
      </c>
      <c r="G183" s="102" t="s">
        <v>533</v>
      </c>
      <c r="H183" s="118">
        <f>I183+J183+M183</f>
        <v>3500</v>
      </c>
      <c r="I183" s="125">
        <v>0</v>
      </c>
      <c r="J183" s="125"/>
      <c r="K183" s="113"/>
      <c r="L183" s="113"/>
      <c r="M183" s="113">
        <v>3500</v>
      </c>
      <c r="N183" s="113"/>
    </row>
    <row r="184" spans="1:14" s="8" customFormat="1" ht="15.75" customHeight="1">
      <c r="A184" s="142" t="s">
        <v>317</v>
      </c>
      <c r="B184" s="115"/>
      <c r="C184" s="115">
        <v>222</v>
      </c>
      <c r="D184" s="116" t="s">
        <v>521</v>
      </c>
      <c r="E184" s="115">
        <v>244</v>
      </c>
      <c r="F184" s="115">
        <v>222</v>
      </c>
      <c r="G184" s="102" t="s">
        <v>533</v>
      </c>
      <c r="H184" s="118">
        <f>I184+J184+K184+L184+M184+N184</f>
        <v>11000</v>
      </c>
      <c r="I184" s="125"/>
      <c r="J184" s="125"/>
      <c r="K184" s="113"/>
      <c r="L184" s="113"/>
      <c r="M184" s="113">
        <v>11000</v>
      </c>
      <c r="N184" s="113"/>
    </row>
    <row r="185" spans="1:14" s="161" customFormat="1" ht="14.25" customHeight="1">
      <c r="A185" s="156" t="s">
        <v>318</v>
      </c>
      <c r="B185" s="157"/>
      <c r="C185" s="157">
        <v>223</v>
      </c>
      <c r="D185" s="157"/>
      <c r="E185" s="157">
        <v>244</v>
      </c>
      <c r="F185" s="157">
        <v>223</v>
      </c>
      <c r="G185" s="158"/>
      <c r="H185" s="159">
        <f>I185+J185+M185</f>
        <v>3498434.15</v>
      </c>
      <c r="I185" s="160">
        <f>I187+I188+I189+I190+I191+I192+I193+I194+I195+I196</f>
        <v>3093486.76</v>
      </c>
      <c r="J185" s="160">
        <f>J187+J188+J189+J190</f>
        <v>0</v>
      </c>
      <c r="K185" s="160">
        <f>K187+K188+K189+K190</f>
        <v>0</v>
      </c>
      <c r="L185" s="160">
        <f>L187+L188+L189+L190</f>
        <v>0</v>
      </c>
      <c r="M185" s="160">
        <f>SUM(M187:M202)</f>
        <v>404947.39</v>
      </c>
      <c r="N185" s="160">
        <f>N187+N188+N189+N190</f>
        <v>0</v>
      </c>
    </row>
    <row r="186" spans="1:14" s="8" customFormat="1" ht="12.75">
      <c r="A186" s="142" t="s">
        <v>4</v>
      </c>
      <c r="B186" s="115"/>
      <c r="C186" s="115"/>
      <c r="D186" s="115"/>
      <c r="E186" s="115"/>
      <c r="F186" s="115"/>
      <c r="G186" s="122"/>
      <c r="H186" s="118"/>
      <c r="I186" s="125"/>
      <c r="J186" s="125"/>
      <c r="K186" s="113"/>
      <c r="L186" s="113"/>
      <c r="M186" s="113"/>
      <c r="N186" s="113"/>
    </row>
    <row r="187" spans="1:14" s="8" customFormat="1" ht="15" customHeight="1">
      <c r="A187" s="142" t="s">
        <v>319</v>
      </c>
      <c r="B187" s="115"/>
      <c r="C187" s="115">
        <v>223</v>
      </c>
      <c r="D187" s="116" t="s">
        <v>522</v>
      </c>
      <c r="E187" s="115">
        <v>244</v>
      </c>
      <c r="F187" s="115">
        <v>223</v>
      </c>
      <c r="G187" s="102" t="s">
        <v>532</v>
      </c>
      <c r="H187" s="118">
        <f aca="true" t="shared" si="9" ref="H187:H204">I187+J187+K187+L187+M187+N187</f>
        <v>1555866.16</v>
      </c>
      <c r="I187" s="125">
        <f>1231409.94+324456.22</f>
        <v>1555866.16</v>
      </c>
      <c r="J187" s="125"/>
      <c r="K187" s="113"/>
      <c r="L187" s="113"/>
      <c r="M187" s="113">
        <v>0</v>
      </c>
      <c r="N187" s="113"/>
    </row>
    <row r="188" spans="1:14" s="8" customFormat="1" ht="15" customHeight="1">
      <c r="A188" s="142" t="s">
        <v>320</v>
      </c>
      <c r="B188" s="115"/>
      <c r="C188" s="115">
        <v>223</v>
      </c>
      <c r="D188" s="116" t="s">
        <v>522</v>
      </c>
      <c r="E188" s="115">
        <v>244</v>
      </c>
      <c r="F188" s="115">
        <v>223</v>
      </c>
      <c r="G188" s="102" t="s">
        <v>532</v>
      </c>
      <c r="H188" s="118">
        <f t="shared" si="9"/>
        <v>0</v>
      </c>
      <c r="I188" s="125">
        <v>0</v>
      </c>
      <c r="J188" s="125"/>
      <c r="K188" s="113"/>
      <c r="L188" s="113"/>
      <c r="M188" s="113"/>
      <c r="N188" s="113"/>
    </row>
    <row r="189" spans="1:14" s="8" customFormat="1" ht="15" customHeight="1">
      <c r="A189" s="142" t="s">
        <v>321</v>
      </c>
      <c r="B189" s="115"/>
      <c r="C189" s="115">
        <v>223</v>
      </c>
      <c r="D189" s="116" t="s">
        <v>522</v>
      </c>
      <c r="E189" s="115">
        <v>244</v>
      </c>
      <c r="F189" s="115">
        <v>223</v>
      </c>
      <c r="G189" s="102" t="s">
        <v>532</v>
      </c>
      <c r="H189" s="118">
        <f t="shared" si="9"/>
        <v>568356.6799999999</v>
      </c>
      <c r="I189" s="125">
        <f>470359.68+97997</f>
        <v>568356.6799999999</v>
      </c>
      <c r="J189" s="125"/>
      <c r="K189" s="113"/>
      <c r="L189" s="113"/>
      <c r="M189" s="113"/>
      <c r="N189" s="113"/>
    </row>
    <row r="190" spans="1:14" s="8" customFormat="1" ht="15" customHeight="1">
      <c r="A190" s="142" t="s">
        <v>322</v>
      </c>
      <c r="B190" s="115"/>
      <c r="C190" s="115">
        <v>223</v>
      </c>
      <c r="D190" s="116" t="s">
        <v>522</v>
      </c>
      <c r="E190" s="115">
        <v>244</v>
      </c>
      <c r="F190" s="115">
        <v>223</v>
      </c>
      <c r="G190" s="102" t="s">
        <v>532</v>
      </c>
      <c r="H190" s="118">
        <f t="shared" si="9"/>
        <v>148192.91999999998</v>
      </c>
      <c r="I190" s="125">
        <f>125152.92+23040</f>
        <v>148192.91999999998</v>
      </c>
      <c r="J190" s="125"/>
      <c r="K190" s="113"/>
      <c r="L190" s="113"/>
      <c r="M190" s="113"/>
      <c r="N190" s="113"/>
    </row>
    <row r="191" spans="1:14" s="8" customFormat="1" ht="15" customHeight="1">
      <c r="A191" s="142" t="s">
        <v>319</v>
      </c>
      <c r="B191" s="487"/>
      <c r="C191" s="487">
        <v>223</v>
      </c>
      <c r="D191" s="488" t="s">
        <v>522</v>
      </c>
      <c r="E191" s="487">
        <v>244</v>
      </c>
      <c r="F191" s="487">
        <v>223</v>
      </c>
      <c r="G191" s="563" t="s">
        <v>825</v>
      </c>
      <c r="H191" s="491">
        <f t="shared" si="9"/>
        <v>459884</v>
      </c>
      <c r="I191" s="486">
        <v>459884</v>
      </c>
      <c r="J191" s="125"/>
      <c r="K191" s="113"/>
      <c r="L191" s="113"/>
      <c r="M191" s="113"/>
      <c r="N191" s="113"/>
    </row>
    <row r="192" spans="1:14" s="8" customFormat="1" ht="15" customHeight="1" hidden="1">
      <c r="A192" s="142" t="s">
        <v>319</v>
      </c>
      <c r="B192" s="487"/>
      <c r="C192" s="487">
        <v>223</v>
      </c>
      <c r="D192" s="488" t="s">
        <v>522</v>
      </c>
      <c r="E192" s="487">
        <v>244</v>
      </c>
      <c r="F192" s="487">
        <v>223</v>
      </c>
      <c r="G192" s="117" t="s">
        <v>532</v>
      </c>
      <c r="H192" s="491">
        <f t="shared" si="9"/>
        <v>0</v>
      </c>
      <c r="I192" s="486"/>
      <c r="J192" s="125"/>
      <c r="K192" s="113"/>
      <c r="L192" s="113"/>
      <c r="M192" s="113"/>
      <c r="N192" s="113"/>
    </row>
    <row r="193" spans="1:14" s="8" customFormat="1" ht="15" customHeight="1">
      <c r="A193" s="142" t="s">
        <v>321</v>
      </c>
      <c r="B193" s="487"/>
      <c r="C193" s="487">
        <v>223</v>
      </c>
      <c r="D193" s="488" t="s">
        <v>522</v>
      </c>
      <c r="E193" s="487">
        <v>244</v>
      </c>
      <c r="F193" s="487">
        <v>223</v>
      </c>
      <c r="G193" s="563" t="s">
        <v>825</v>
      </c>
      <c r="H193" s="491">
        <f t="shared" si="9"/>
        <v>240227</v>
      </c>
      <c r="I193" s="486">
        <v>240227</v>
      </c>
      <c r="J193" s="125"/>
      <c r="K193" s="113"/>
      <c r="L193" s="113"/>
      <c r="M193" s="113"/>
      <c r="N193" s="113"/>
    </row>
    <row r="194" spans="1:14" s="8" customFormat="1" ht="15" customHeight="1" hidden="1">
      <c r="A194" s="142" t="s">
        <v>321</v>
      </c>
      <c r="B194" s="487"/>
      <c r="C194" s="487">
        <v>223</v>
      </c>
      <c r="D194" s="488" t="s">
        <v>522</v>
      </c>
      <c r="E194" s="487">
        <v>244</v>
      </c>
      <c r="F194" s="487">
        <v>223</v>
      </c>
      <c r="G194" s="117" t="s">
        <v>532</v>
      </c>
      <c r="H194" s="491">
        <f t="shared" si="9"/>
        <v>0</v>
      </c>
      <c r="I194" s="486"/>
      <c r="J194" s="125"/>
      <c r="K194" s="113"/>
      <c r="L194" s="113"/>
      <c r="M194" s="113"/>
      <c r="N194" s="113"/>
    </row>
    <row r="195" spans="1:14" s="8" customFormat="1" ht="15" customHeight="1">
      <c r="A195" s="142" t="s">
        <v>322</v>
      </c>
      <c r="B195" s="487"/>
      <c r="C195" s="115">
        <v>223</v>
      </c>
      <c r="D195" s="488" t="s">
        <v>522</v>
      </c>
      <c r="E195" s="487">
        <v>244</v>
      </c>
      <c r="F195" s="487">
        <v>223</v>
      </c>
      <c r="G195" s="563" t="s">
        <v>825</v>
      </c>
      <c r="H195" s="491">
        <f t="shared" si="9"/>
        <v>120960</v>
      </c>
      <c r="I195" s="486">
        <v>120960</v>
      </c>
      <c r="J195" s="125"/>
      <c r="K195" s="113"/>
      <c r="L195" s="113"/>
      <c r="M195" s="113"/>
      <c r="N195" s="113"/>
    </row>
    <row r="196" spans="1:14" s="8" customFormat="1" ht="15" customHeight="1" hidden="1">
      <c r="A196" s="142" t="s">
        <v>322</v>
      </c>
      <c r="B196" s="487"/>
      <c r="C196" s="115">
        <v>223</v>
      </c>
      <c r="D196" s="488" t="s">
        <v>522</v>
      </c>
      <c r="E196" s="487">
        <v>244</v>
      </c>
      <c r="F196" s="487">
        <v>223</v>
      </c>
      <c r="G196" s="117" t="s">
        <v>532</v>
      </c>
      <c r="H196" s="491">
        <f t="shared" si="9"/>
        <v>0</v>
      </c>
      <c r="I196" s="486"/>
      <c r="J196" s="125"/>
      <c r="K196" s="113"/>
      <c r="L196" s="113"/>
      <c r="M196" s="113"/>
      <c r="N196" s="113"/>
    </row>
    <row r="197" spans="1:14" s="8" customFormat="1" ht="15" customHeight="1">
      <c r="A197" s="142" t="s">
        <v>319</v>
      </c>
      <c r="B197" s="115"/>
      <c r="C197" s="115">
        <v>223</v>
      </c>
      <c r="D197" s="116" t="s">
        <v>521</v>
      </c>
      <c r="E197" s="115">
        <v>244</v>
      </c>
      <c r="F197" s="115">
        <v>223</v>
      </c>
      <c r="G197" s="102" t="s">
        <v>533</v>
      </c>
      <c r="H197" s="118">
        <f t="shared" si="9"/>
        <v>153047.27</v>
      </c>
      <c r="I197" s="125">
        <v>0</v>
      </c>
      <c r="J197" s="125"/>
      <c r="K197" s="113"/>
      <c r="L197" s="113"/>
      <c r="M197" s="113">
        <v>153047.27</v>
      </c>
      <c r="N197" s="113"/>
    </row>
    <row r="198" spans="1:14" s="8" customFormat="1" ht="15" customHeight="1">
      <c r="A198" s="142" t="s">
        <v>319</v>
      </c>
      <c r="B198" s="487"/>
      <c r="C198" s="115">
        <v>223</v>
      </c>
      <c r="D198" s="498" t="s">
        <v>521</v>
      </c>
      <c r="E198" s="115">
        <v>244</v>
      </c>
      <c r="F198" s="115">
        <v>223</v>
      </c>
      <c r="G198" s="102" t="s">
        <v>533</v>
      </c>
      <c r="H198" s="491">
        <f t="shared" si="9"/>
        <v>18224</v>
      </c>
      <c r="I198" s="485">
        <v>0</v>
      </c>
      <c r="J198" s="485">
        <v>0</v>
      </c>
      <c r="K198" s="499">
        <v>0</v>
      </c>
      <c r="L198" s="499">
        <v>0</v>
      </c>
      <c r="M198" s="497">
        <v>18224</v>
      </c>
      <c r="N198" s="113"/>
    </row>
    <row r="199" spans="1:14" s="8" customFormat="1" ht="15" customHeight="1">
      <c r="A199" s="142" t="s">
        <v>321</v>
      </c>
      <c r="B199" s="115"/>
      <c r="C199" s="115">
        <v>223</v>
      </c>
      <c r="D199" s="116" t="s">
        <v>521</v>
      </c>
      <c r="E199" s="115">
        <v>244</v>
      </c>
      <c r="F199" s="115">
        <v>223</v>
      </c>
      <c r="G199" s="102" t="s">
        <v>533</v>
      </c>
      <c r="H199" s="118">
        <f t="shared" si="9"/>
        <v>161362.88</v>
      </c>
      <c r="I199" s="125">
        <v>0</v>
      </c>
      <c r="J199" s="125"/>
      <c r="K199" s="113"/>
      <c r="L199" s="113"/>
      <c r="M199" s="113">
        <v>161362.88</v>
      </c>
      <c r="N199" s="113"/>
    </row>
    <row r="200" spans="1:14" s="8" customFormat="1" ht="15" customHeight="1">
      <c r="A200" s="142" t="s">
        <v>321</v>
      </c>
      <c r="B200" s="487"/>
      <c r="C200" s="115">
        <v>223</v>
      </c>
      <c r="D200" s="498" t="s">
        <v>521</v>
      </c>
      <c r="E200" s="487">
        <v>244</v>
      </c>
      <c r="F200" s="487">
        <v>223</v>
      </c>
      <c r="G200" s="117" t="s">
        <v>533</v>
      </c>
      <c r="H200" s="491">
        <f t="shared" si="9"/>
        <v>13776</v>
      </c>
      <c r="I200" s="485">
        <v>0</v>
      </c>
      <c r="J200" s="485">
        <v>0</v>
      </c>
      <c r="K200" s="499">
        <v>0</v>
      </c>
      <c r="L200" s="499">
        <v>0</v>
      </c>
      <c r="M200" s="497">
        <v>13776</v>
      </c>
      <c r="N200" s="113"/>
    </row>
    <row r="201" spans="1:14" s="8" customFormat="1" ht="15" customHeight="1">
      <c r="A201" s="142" t="s">
        <v>322</v>
      </c>
      <c r="B201" s="115"/>
      <c r="C201" s="115">
        <v>223</v>
      </c>
      <c r="D201" s="116" t="s">
        <v>521</v>
      </c>
      <c r="E201" s="115">
        <v>244</v>
      </c>
      <c r="F201" s="115">
        <v>223</v>
      </c>
      <c r="G201" s="102" t="s">
        <v>533</v>
      </c>
      <c r="H201" s="118">
        <f t="shared" si="9"/>
        <v>50537.24</v>
      </c>
      <c r="I201" s="125">
        <v>0</v>
      </c>
      <c r="J201" s="125"/>
      <c r="K201" s="113"/>
      <c r="L201" s="113"/>
      <c r="M201" s="113">
        <v>50537.24</v>
      </c>
      <c r="N201" s="113"/>
    </row>
    <row r="202" spans="1:14" s="8" customFormat="1" ht="15" customHeight="1">
      <c r="A202" s="142" t="s">
        <v>322</v>
      </c>
      <c r="B202" s="487"/>
      <c r="C202" s="115">
        <v>223</v>
      </c>
      <c r="D202" s="498" t="s">
        <v>521</v>
      </c>
      <c r="E202" s="487">
        <v>244</v>
      </c>
      <c r="F202" s="487">
        <v>223</v>
      </c>
      <c r="G202" s="117" t="s">
        <v>533</v>
      </c>
      <c r="H202" s="491">
        <f t="shared" si="9"/>
        <v>8000</v>
      </c>
      <c r="I202" s="485">
        <v>0</v>
      </c>
      <c r="J202" s="485">
        <v>0</v>
      </c>
      <c r="K202" s="499">
        <v>0</v>
      </c>
      <c r="L202" s="499">
        <v>0</v>
      </c>
      <c r="M202" s="497">
        <v>8000</v>
      </c>
      <c r="N202" s="113"/>
    </row>
    <row r="203" spans="1:14" s="8" customFormat="1" ht="15" customHeight="1">
      <c r="A203" s="142" t="s">
        <v>323</v>
      </c>
      <c r="B203" s="115"/>
      <c r="C203" s="115">
        <v>224</v>
      </c>
      <c r="D203" s="115"/>
      <c r="E203" s="115"/>
      <c r="F203" s="115">
        <v>224</v>
      </c>
      <c r="G203" s="122"/>
      <c r="H203" s="118">
        <f t="shared" si="9"/>
        <v>0</v>
      </c>
      <c r="I203" s="125">
        <v>0</v>
      </c>
      <c r="J203" s="125"/>
      <c r="K203" s="113"/>
      <c r="L203" s="113"/>
      <c r="M203" s="113"/>
      <c r="N203" s="113"/>
    </row>
    <row r="204" spans="1:14" s="8" customFormat="1" ht="15" customHeight="1">
      <c r="A204" s="142" t="s">
        <v>324</v>
      </c>
      <c r="B204" s="115"/>
      <c r="C204" s="115">
        <v>225</v>
      </c>
      <c r="D204" s="116" t="s">
        <v>522</v>
      </c>
      <c r="E204" s="115">
        <v>244</v>
      </c>
      <c r="F204" s="115">
        <v>225</v>
      </c>
      <c r="G204" s="102" t="s">
        <v>531</v>
      </c>
      <c r="H204" s="118">
        <f t="shared" si="9"/>
        <v>127769.85999999999</v>
      </c>
      <c r="I204" s="125">
        <f>132945.86-5176</f>
        <v>127769.85999999999</v>
      </c>
      <c r="J204" s="125"/>
      <c r="K204" s="113"/>
      <c r="L204" s="113"/>
      <c r="M204" s="113"/>
      <c r="N204" s="113"/>
    </row>
    <row r="205" spans="1:14" s="8" customFormat="1" ht="15" customHeight="1">
      <c r="A205" s="142" t="s">
        <v>324</v>
      </c>
      <c r="B205" s="115"/>
      <c r="C205" s="115">
        <v>225</v>
      </c>
      <c r="D205" s="116" t="s">
        <v>522</v>
      </c>
      <c r="E205" s="115">
        <v>244</v>
      </c>
      <c r="F205" s="115">
        <v>225</v>
      </c>
      <c r="G205" s="102" t="s">
        <v>532</v>
      </c>
      <c r="H205" s="118">
        <f aca="true" t="shared" si="10" ref="H205:H212">I205+J205+K205+L205+M205+N205</f>
        <v>1892991.91</v>
      </c>
      <c r="I205" s="125">
        <f>1837882.27-23614.26+82473.9-3750</f>
        <v>1892991.91</v>
      </c>
      <c r="J205" s="125"/>
      <c r="K205" s="113"/>
      <c r="L205" s="113"/>
      <c r="M205" s="113"/>
      <c r="N205" s="113"/>
    </row>
    <row r="206" spans="1:14" s="8" customFormat="1" ht="15" customHeight="1">
      <c r="A206" s="142" t="s">
        <v>324</v>
      </c>
      <c r="B206" s="487"/>
      <c r="C206" s="115">
        <v>225</v>
      </c>
      <c r="D206" s="488" t="s">
        <v>522</v>
      </c>
      <c r="E206" s="115">
        <v>244</v>
      </c>
      <c r="F206" s="115">
        <v>225</v>
      </c>
      <c r="G206" s="563" t="s">
        <v>825</v>
      </c>
      <c r="H206" s="491">
        <f t="shared" si="10"/>
        <v>431000.92</v>
      </c>
      <c r="I206" s="486">
        <f>432987.99-1987.07</f>
        <v>431000.92</v>
      </c>
      <c r="J206" s="125"/>
      <c r="K206" s="113"/>
      <c r="L206" s="113"/>
      <c r="M206" s="113"/>
      <c r="N206" s="113"/>
    </row>
    <row r="207" spans="1:14" s="8" customFormat="1" ht="15" customHeight="1" hidden="1">
      <c r="A207" s="142" t="s">
        <v>324</v>
      </c>
      <c r="B207" s="487"/>
      <c r="C207" s="115">
        <v>225</v>
      </c>
      <c r="D207" s="488" t="s">
        <v>522</v>
      </c>
      <c r="E207" s="115">
        <v>244</v>
      </c>
      <c r="F207" s="115">
        <v>225</v>
      </c>
      <c r="G207" s="117" t="s">
        <v>532</v>
      </c>
      <c r="H207" s="491">
        <f t="shared" si="10"/>
        <v>0</v>
      </c>
      <c r="I207" s="486"/>
      <c r="J207" s="125"/>
      <c r="K207" s="113"/>
      <c r="L207" s="113"/>
      <c r="M207" s="113"/>
      <c r="N207" s="113"/>
    </row>
    <row r="208" spans="1:14" s="8" customFormat="1" ht="15" customHeight="1">
      <c r="A208" s="142" t="s">
        <v>324</v>
      </c>
      <c r="B208" s="115"/>
      <c r="C208" s="115">
        <v>225</v>
      </c>
      <c r="D208" s="116" t="s">
        <v>521</v>
      </c>
      <c r="E208" s="115">
        <v>244</v>
      </c>
      <c r="F208" s="115">
        <v>225</v>
      </c>
      <c r="G208" s="102" t="s">
        <v>533</v>
      </c>
      <c r="H208" s="118">
        <f t="shared" si="10"/>
        <v>2467848.93</v>
      </c>
      <c r="I208" s="125">
        <v>0</v>
      </c>
      <c r="J208" s="125"/>
      <c r="K208" s="113"/>
      <c r="L208" s="113"/>
      <c r="M208" s="113">
        <v>2467848.93</v>
      </c>
      <c r="N208" s="113"/>
    </row>
    <row r="209" spans="1:14" s="8" customFormat="1" ht="15" customHeight="1">
      <c r="A209" s="142" t="s">
        <v>324</v>
      </c>
      <c r="B209" s="487"/>
      <c r="C209" s="115">
        <v>225</v>
      </c>
      <c r="D209" s="498" t="s">
        <v>521</v>
      </c>
      <c r="E209" s="115">
        <v>244</v>
      </c>
      <c r="F209" s="115">
        <v>225</v>
      </c>
      <c r="G209" s="117" t="s">
        <v>533</v>
      </c>
      <c r="H209" s="491">
        <f t="shared" si="10"/>
        <v>92630.63</v>
      </c>
      <c r="I209" s="485">
        <v>0</v>
      </c>
      <c r="J209" s="485">
        <v>0</v>
      </c>
      <c r="K209" s="499">
        <v>0</v>
      </c>
      <c r="L209" s="499">
        <v>0</v>
      </c>
      <c r="M209" s="497">
        <f>35232+57398.63</f>
        <v>92630.63</v>
      </c>
      <c r="N209" s="113"/>
    </row>
    <row r="210" spans="1:14" s="8" customFormat="1" ht="15" customHeight="1">
      <c r="A210" s="142" t="s">
        <v>826</v>
      </c>
      <c r="B210" s="487"/>
      <c r="C210" s="115">
        <v>227</v>
      </c>
      <c r="D210" s="488" t="s">
        <v>522</v>
      </c>
      <c r="E210" s="115">
        <v>244</v>
      </c>
      <c r="F210" s="115">
        <v>227</v>
      </c>
      <c r="G210" s="563" t="s">
        <v>825</v>
      </c>
      <c r="H210" s="491">
        <f t="shared" si="10"/>
        <v>8000</v>
      </c>
      <c r="I210" s="486">
        <v>8000</v>
      </c>
      <c r="J210" s="125"/>
      <c r="K210" s="113"/>
      <c r="L210" s="113"/>
      <c r="M210" s="113"/>
      <c r="N210" s="113"/>
    </row>
    <row r="211" spans="1:14" s="8" customFormat="1" ht="15" customHeight="1">
      <c r="A211" s="142" t="s">
        <v>751</v>
      </c>
      <c r="B211" s="115"/>
      <c r="C211" s="115">
        <v>228</v>
      </c>
      <c r="D211" s="116" t="s">
        <v>521</v>
      </c>
      <c r="E211" s="115">
        <v>244</v>
      </c>
      <c r="F211" s="115">
        <v>228</v>
      </c>
      <c r="G211" s="102" t="s">
        <v>533</v>
      </c>
      <c r="H211" s="118">
        <f t="shared" si="10"/>
        <v>500000</v>
      </c>
      <c r="I211" s="125">
        <v>0</v>
      </c>
      <c r="J211" s="125"/>
      <c r="K211" s="113"/>
      <c r="L211" s="113"/>
      <c r="M211" s="113">
        <v>500000</v>
      </c>
      <c r="N211" s="113"/>
    </row>
    <row r="212" spans="1:14" s="8" customFormat="1" ht="15" customHeight="1">
      <c r="A212" s="142" t="s">
        <v>751</v>
      </c>
      <c r="B212" s="115"/>
      <c r="C212" s="115">
        <v>228</v>
      </c>
      <c r="D212" s="116" t="s">
        <v>522</v>
      </c>
      <c r="E212" s="115">
        <v>244</v>
      </c>
      <c r="F212" s="115">
        <v>228</v>
      </c>
      <c r="G212" s="102" t="s">
        <v>532</v>
      </c>
      <c r="H212" s="118">
        <f t="shared" si="10"/>
        <v>962846.06</v>
      </c>
      <c r="I212" s="125">
        <f>'ФЭО МЗ'!G314</f>
        <v>962846.06</v>
      </c>
      <c r="J212" s="125"/>
      <c r="K212" s="113"/>
      <c r="L212" s="113"/>
      <c r="M212" s="113"/>
      <c r="N212" s="113"/>
    </row>
    <row r="213" spans="1:14" s="8" customFormat="1" ht="15" customHeight="1">
      <c r="A213" s="142" t="s">
        <v>325</v>
      </c>
      <c r="B213" s="115"/>
      <c r="C213" s="115">
        <v>310</v>
      </c>
      <c r="D213" s="116" t="s">
        <v>522</v>
      </c>
      <c r="E213" s="115">
        <v>244</v>
      </c>
      <c r="F213" s="115">
        <v>310</v>
      </c>
      <c r="G213" s="102" t="s">
        <v>531</v>
      </c>
      <c r="H213" s="118">
        <f aca="true" t="shared" si="11" ref="H213:H220">I213+J213+K213+L213+M213+N213</f>
        <v>474097.52</v>
      </c>
      <c r="I213" s="125">
        <f>399789.61+74307.91</f>
        <v>474097.52</v>
      </c>
      <c r="J213" s="125"/>
      <c r="K213" s="113"/>
      <c r="L213" s="113"/>
      <c r="M213" s="113"/>
      <c r="N213" s="113"/>
    </row>
    <row r="214" spans="1:14" s="8" customFormat="1" ht="15" customHeight="1">
      <c r="A214" s="142" t="s">
        <v>325</v>
      </c>
      <c r="B214" s="115"/>
      <c r="C214" s="115">
        <v>310</v>
      </c>
      <c r="D214" s="116" t="s">
        <v>522</v>
      </c>
      <c r="E214" s="115">
        <v>244</v>
      </c>
      <c r="F214" s="115">
        <v>310</v>
      </c>
      <c r="G214" s="102" t="s">
        <v>532</v>
      </c>
      <c r="H214" s="118">
        <f t="shared" si="11"/>
        <v>313210.29000000004</v>
      </c>
      <c r="I214" s="125">
        <f>'ФЭО МЗ'!H413</f>
        <v>313210.29000000004</v>
      </c>
      <c r="J214" s="125"/>
      <c r="K214" s="113"/>
      <c r="L214" s="113"/>
      <c r="M214" s="113"/>
      <c r="N214" s="113"/>
    </row>
    <row r="215" spans="1:14" s="8" customFormat="1" ht="15" customHeight="1">
      <c r="A215" s="142" t="s">
        <v>325</v>
      </c>
      <c r="B215" s="487"/>
      <c r="C215" s="115">
        <v>310</v>
      </c>
      <c r="D215" s="488" t="s">
        <v>522</v>
      </c>
      <c r="E215" s="115">
        <v>244</v>
      </c>
      <c r="F215" s="115">
        <v>310</v>
      </c>
      <c r="G215" s="180" t="s">
        <v>535</v>
      </c>
      <c r="H215" s="491">
        <f t="shared" si="11"/>
        <v>194337.7</v>
      </c>
      <c r="I215" s="495">
        <v>194337.7</v>
      </c>
      <c r="J215" s="125"/>
      <c r="K215" s="113"/>
      <c r="L215" s="113"/>
      <c r="M215" s="113"/>
      <c r="N215" s="113"/>
    </row>
    <row r="216" spans="1:14" s="8" customFormat="1" ht="15" customHeight="1">
      <c r="A216" s="142" t="s">
        <v>325</v>
      </c>
      <c r="B216" s="487"/>
      <c r="C216" s="115">
        <v>310</v>
      </c>
      <c r="D216" s="488" t="s">
        <v>522</v>
      </c>
      <c r="E216" s="115">
        <v>244</v>
      </c>
      <c r="F216" s="115">
        <v>310</v>
      </c>
      <c r="G216" s="180" t="s">
        <v>531</v>
      </c>
      <c r="H216" s="491">
        <f t="shared" si="11"/>
        <v>0</v>
      </c>
      <c r="I216" s="486"/>
      <c r="J216" s="125"/>
      <c r="K216" s="113"/>
      <c r="L216" s="113"/>
      <c r="M216" s="113"/>
      <c r="N216" s="113"/>
    </row>
    <row r="217" spans="1:14" s="8" customFormat="1" ht="15" customHeight="1">
      <c r="A217" s="142" t="s">
        <v>325</v>
      </c>
      <c r="B217" s="115"/>
      <c r="C217" s="115">
        <v>310</v>
      </c>
      <c r="D217" s="116" t="s">
        <v>521</v>
      </c>
      <c r="E217" s="115">
        <v>244</v>
      </c>
      <c r="F217" s="115">
        <v>310</v>
      </c>
      <c r="G217" s="102" t="s">
        <v>533</v>
      </c>
      <c r="H217" s="118">
        <f t="shared" si="11"/>
        <v>464248</v>
      </c>
      <c r="I217" s="125">
        <v>0</v>
      </c>
      <c r="J217" s="125"/>
      <c r="K217" s="113"/>
      <c r="L217" s="113"/>
      <c r="M217" s="113">
        <v>464248</v>
      </c>
      <c r="N217" s="113"/>
    </row>
    <row r="218" spans="1:14" s="8" customFormat="1" ht="15" customHeight="1">
      <c r="A218" s="142" t="s">
        <v>325</v>
      </c>
      <c r="B218" s="487"/>
      <c r="C218" s="115">
        <v>310</v>
      </c>
      <c r="D218" s="498" t="s">
        <v>521</v>
      </c>
      <c r="E218" s="115">
        <v>244</v>
      </c>
      <c r="F218" s="115">
        <v>310</v>
      </c>
      <c r="G218" s="117" t="s">
        <v>533</v>
      </c>
      <c r="H218" s="491">
        <f t="shared" si="11"/>
        <v>110000</v>
      </c>
      <c r="I218" s="485">
        <v>0</v>
      </c>
      <c r="J218" s="485">
        <v>0</v>
      </c>
      <c r="K218" s="499">
        <v>0</v>
      </c>
      <c r="L218" s="499">
        <v>0</v>
      </c>
      <c r="M218" s="497">
        <v>110000</v>
      </c>
      <c r="N218" s="113"/>
    </row>
    <row r="219" spans="1:14" s="8" customFormat="1" ht="15" customHeight="1">
      <c r="A219" s="142" t="s">
        <v>326</v>
      </c>
      <c r="B219" s="115"/>
      <c r="C219" s="115">
        <v>320</v>
      </c>
      <c r="D219" s="115"/>
      <c r="E219" s="115"/>
      <c r="F219" s="115">
        <v>320</v>
      </c>
      <c r="G219" s="122"/>
      <c r="H219" s="118">
        <f t="shared" si="11"/>
        <v>0</v>
      </c>
      <c r="I219" s="125">
        <v>0</v>
      </c>
      <c r="J219" s="125"/>
      <c r="K219" s="113"/>
      <c r="L219" s="113"/>
      <c r="M219" s="113"/>
      <c r="N219" s="113"/>
    </row>
    <row r="220" spans="1:14" s="161" customFormat="1" ht="23.25" customHeight="1">
      <c r="A220" s="156" t="s">
        <v>327</v>
      </c>
      <c r="B220" s="157"/>
      <c r="C220" s="157">
        <v>340</v>
      </c>
      <c r="D220" s="157"/>
      <c r="E220" s="157">
        <v>244</v>
      </c>
      <c r="F220" s="157">
        <v>340</v>
      </c>
      <c r="G220" s="158"/>
      <c r="H220" s="159">
        <f t="shared" si="11"/>
        <v>5819168.5</v>
      </c>
      <c r="I220" s="160">
        <f>I221+I222+I228+I231+I238+I223+I224+I232+I233</f>
        <v>631723.93</v>
      </c>
      <c r="J220" s="160">
        <f>J221+J222+J228+J231+J238+J236+J237+J234+J225</f>
        <v>166379.27000000002</v>
      </c>
      <c r="K220" s="160">
        <f>K221+K222+K228+K231+K238</f>
        <v>0</v>
      </c>
      <c r="L220" s="160">
        <f>L221+L222+L228+L231+L238</f>
        <v>0</v>
      </c>
      <c r="M220" s="160">
        <f>SUM(M222:M238)</f>
        <v>5021065.3</v>
      </c>
      <c r="N220" s="160">
        <f>N221+N222+N228+N231+N238</f>
        <v>0</v>
      </c>
    </row>
    <row r="221" spans="1:14" s="8" customFormat="1" ht="15" customHeight="1">
      <c r="A221" s="142" t="s">
        <v>4</v>
      </c>
      <c r="B221" s="115"/>
      <c r="C221" s="115"/>
      <c r="D221" s="115"/>
      <c r="E221" s="115"/>
      <c r="F221" s="115"/>
      <c r="G221" s="122"/>
      <c r="H221" s="118"/>
      <c r="I221" s="125"/>
      <c r="J221" s="125"/>
      <c r="K221" s="113"/>
      <c r="L221" s="113"/>
      <c r="M221" s="113"/>
      <c r="N221" s="113"/>
    </row>
    <row r="222" spans="1:14" s="8" customFormat="1" ht="15" customHeight="1">
      <c r="A222" s="142" t="s">
        <v>328</v>
      </c>
      <c r="B222" s="115"/>
      <c r="C222" s="115">
        <v>341</v>
      </c>
      <c r="D222" s="116" t="s">
        <v>521</v>
      </c>
      <c r="E222" s="115">
        <v>244</v>
      </c>
      <c r="F222" s="115">
        <v>341</v>
      </c>
      <c r="G222" s="102" t="s">
        <v>533</v>
      </c>
      <c r="H222" s="118">
        <f aca="true" t="shared" si="12" ref="H222:H238">I222+J222+K222+L222+M222+N222</f>
        <v>50000</v>
      </c>
      <c r="I222" s="125">
        <v>0</v>
      </c>
      <c r="J222" s="125"/>
      <c r="K222" s="113"/>
      <c r="L222" s="113"/>
      <c r="M222" s="113">
        <v>50000</v>
      </c>
      <c r="N222" s="113"/>
    </row>
    <row r="223" spans="1:14" s="8" customFormat="1" ht="15" customHeight="1">
      <c r="A223" s="142" t="s">
        <v>328</v>
      </c>
      <c r="B223" s="487"/>
      <c r="C223" s="115">
        <v>341</v>
      </c>
      <c r="D223" s="488" t="s">
        <v>522</v>
      </c>
      <c r="E223" s="115">
        <v>244</v>
      </c>
      <c r="F223" s="115">
        <v>341</v>
      </c>
      <c r="G223" s="493" t="s">
        <v>825</v>
      </c>
      <c r="H223" s="491">
        <f t="shared" si="12"/>
        <v>7000</v>
      </c>
      <c r="I223" s="486">
        <v>7000</v>
      </c>
      <c r="J223" s="125"/>
      <c r="K223" s="113"/>
      <c r="L223" s="113"/>
      <c r="M223" s="113"/>
      <c r="N223" s="113"/>
    </row>
    <row r="224" spans="1:14" s="8" customFormat="1" ht="15" customHeight="1">
      <c r="A224" s="142" t="s">
        <v>329</v>
      </c>
      <c r="B224" s="487"/>
      <c r="C224" s="115">
        <v>342</v>
      </c>
      <c r="D224" s="488" t="s">
        <v>522</v>
      </c>
      <c r="E224" s="115">
        <v>244</v>
      </c>
      <c r="F224" s="115">
        <v>342</v>
      </c>
      <c r="G224" s="493" t="s">
        <v>825</v>
      </c>
      <c r="H224" s="491">
        <f t="shared" si="12"/>
        <v>437421.05</v>
      </c>
      <c r="I224" s="486">
        <v>437421.05</v>
      </c>
      <c r="J224" s="125"/>
      <c r="K224" s="113"/>
      <c r="L224" s="113"/>
      <c r="M224" s="113"/>
      <c r="N224" s="113"/>
    </row>
    <row r="225" spans="1:14" s="8" customFormat="1" ht="15" customHeight="1">
      <c r="A225" s="142" t="s">
        <v>329</v>
      </c>
      <c r="B225" s="487"/>
      <c r="C225" s="115">
        <v>340</v>
      </c>
      <c r="D225" s="498" t="s">
        <v>841</v>
      </c>
      <c r="E225" s="115">
        <v>244</v>
      </c>
      <c r="F225" s="115">
        <v>342</v>
      </c>
      <c r="G225" s="500" t="s">
        <v>535</v>
      </c>
      <c r="H225" s="491">
        <f t="shared" si="12"/>
        <v>144982.13</v>
      </c>
      <c r="I225" s="485">
        <v>0</v>
      </c>
      <c r="J225" s="486">
        <f>105204.41+39777.72</f>
        <v>144982.13</v>
      </c>
      <c r="K225" s="113"/>
      <c r="L225" s="113"/>
      <c r="M225" s="113"/>
      <c r="N225" s="113"/>
    </row>
    <row r="226" spans="1:15" s="8" customFormat="1" ht="15" customHeight="1">
      <c r="A226" s="142" t="s">
        <v>329</v>
      </c>
      <c r="B226" s="487"/>
      <c r="C226" s="115">
        <v>340</v>
      </c>
      <c r="D226" s="498" t="s">
        <v>521</v>
      </c>
      <c r="E226" s="115">
        <v>244</v>
      </c>
      <c r="F226" s="115">
        <v>342</v>
      </c>
      <c r="G226" s="494" t="s">
        <v>533</v>
      </c>
      <c r="H226" s="491">
        <f t="shared" si="12"/>
        <v>2990594.12</v>
      </c>
      <c r="I226" s="485">
        <v>0</v>
      </c>
      <c r="J226" s="485">
        <v>0</v>
      </c>
      <c r="K226" s="499">
        <v>0</v>
      </c>
      <c r="L226" s="499">
        <v>0</v>
      </c>
      <c r="M226" s="497">
        <f>2800000+190594.12</f>
        <v>2990594.12</v>
      </c>
      <c r="N226" s="113"/>
      <c r="O226" s="8">
        <v>4546064.3</v>
      </c>
    </row>
    <row r="227" spans="1:14" s="8" customFormat="1" ht="15" customHeight="1">
      <c r="A227" s="142" t="s">
        <v>329</v>
      </c>
      <c r="B227" s="487"/>
      <c r="C227" s="115">
        <v>340</v>
      </c>
      <c r="D227" s="498" t="s">
        <v>521</v>
      </c>
      <c r="E227" s="115">
        <v>244</v>
      </c>
      <c r="F227" s="115">
        <v>342</v>
      </c>
      <c r="G227" s="494" t="s">
        <v>533</v>
      </c>
      <c r="H227" s="491">
        <f>I227+J227+K227+L227+M227+N227</f>
        <v>1555471.18</v>
      </c>
      <c r="I227" s="485"/>
      <c r="J227" s="485"/>
      <c r="K227" s="499"/>
      <c r="L227" s="499"/>
      <c r="M227" s="496">
        <f>1430044+125427.18</f>
        <v>1555471.18</v>
      </c>
      <c r="N227" s="113"/>
    </row>
    <row r="228" spans="1:14" s="8" customFormat="1" ht="15" customHeight="1">
      <c r="A228" s="142" t="s">
        <v>845</v>
      </c>
      <c r="B228" s="115"/>
      <c r="C228" s="115">
        <v>344</v>
      </c>
      <c r="D228" s="116" t="s">
        <v>521</v>
      </c>
      <c r="E228" s="115">
        <v>244</v>
      </c>
      <c r="F228" s="115">
        <v>344</v>
      </c>
      <c r="G228" s="102" t="s">
        <v>533</v>
      </c>
      <c r="H228" s="118">
        <f t="shared" si="12"/>
        <v>50000</v>
      </c>
      <c r="I228" s="125">
        <v>0</v>
      </c>
      <c r="J228" s="125"/>
      <c r="K228" s="113"/>
      <c r="L228" s="113"/>
      <c r="M228" s="113">
        <v>50000</v>
      </c>
      <c r="N228" s="113"/>
    </row>
    <row r="229" spans="1:14" s="8" customFormat="1" ht="15" customHeight="1">
      <c r="A229" s="142" t="s">
        <v>846</v>
      </c>
      <c r="B229" s="487"/>
      <c r="C229" s="115">
        <v>340</v>
      </c>
      <c r="D229" s="498" t="s">
        <v>521</v>
      </c>
      <c r="E229" s="115">
        <v>244</v>
      </c>
      <c r="F229" s="115">
        <v>345</v>
      </c>
      <c r="G229" s="117" t="s">
        <v>533</v>
      </c>
      <c r="H229" s="491">
        <f t="shared" si="12"/>
        <v>100000</v>
      </c>
      <c r="I229" s="485">
        <v>0</v>
      </c>
      <c r="J229" s="485">
        <v>0</v>
      </c>
      <c r="K229" s="499">
        <v>0</v>
      </c>
      <c r="L229" s="499">
        <v>0</v>
      </c>
      <c r="M229" s="497">
        <v>100000</v>
      </c>
      <c r="N229" s="113"/>
    </row>
    <row r="230" spans="1:14" s="8" customFormat="1" ht="15" customHeight="1">
      <c r="A230" s="142" t="s">
        <v>330</v>
      </c>
      <c r="B230" s="115"/>
      <c r="C230" s="115">
        <v>346</v>
      </c>
      <c r="D230" s="116" t="s">
        <v>521</v>
      </c>
      <c r="E230" s="115">
        <v>244</v>
      </c>
      <c r="F230" s="115">
        <v>346</v>
      </c>
      <c r="G230" s="102" t="s">
        <v>533</v>
      </c>
      <c r="H230" s="118">
        <f t="shared" si="12"/>
        <v>175000</v>
      </c>
      <c r="I230" s="125"/>
      <c r="J230" s="125"/>
      <c r="K230" s="113"/>
      <c r="L230" s="113"/>
      <c r="M230" s="113">
        <v>175000</v>
      </c>
      <c r="N230" s="113"/>
    </row>
    <row r="231" spans="1:14" s="8" customFormat="1" ht="15" customHeight="1">
      <c r="A231" s="142" t="s">
        <v>330</v>
      </c>
      <c r="B231" s="115"/>
      <c r="C231" s="115">
        <v>346</v>
      </c>
      <c r="D231" s="116" t="s">
        <v>522</v>
      </c>
      <c r="E231" s="115">
        <v>244</v>
      </c>
      <c r="F231" s="115">
        <v>346</v>
      </c>
      <c r="G231" s="102" t="s">
        <v>532</v>
      </c>
      <c r="H231" s="118">
        <f t="shared" si="12"/>
        <v>177956.82</v>
      </c>
      <c r="I231" s="125">
        <f>124943.1+53013.72</f>
        <v>177956.82</v>
      </c>
      <c r="J231" s="125"/>
      <c r="K231" s="113"/>
      <c r="L231" s="113"/>
      <c r="M231" s="113"/>
      <c r="N231" s="113"/>
    </row>
    <row r="232" spans="1:14" s="8" customFormat="1" ht="15" customHeight="1">
      <c r="A232" s="142" t="s">
        <v>330</v>
      </c>
      <c r="B232" s="487"/>
      <c r="C232" s="115">
        <v>340</v>
      </c>
      <c r="D232" s="488" t="s">
        <v>522</v>
      </c>
      <c r="E232" s="115">
        <v>244</v>
      </c>
      <c r="F232" s="115">
        <v>346</v>
      </c>
      <c r="G232" s="563" t="s">
        <v>825</v>
      </c>
      <c r="H232" s="491">
        <f t="shared" si="12"/>
        <v>9346.06</v>
      </c>
      <c r="I232" s="486">
        <v>9346.06</v>
      </c>
      <c r="J232" s="125"/>
      <c r="K232" s="113"/>
      <c r="L232" s="113"/>
      <c r="M232" s="113"/>
      <c r="N232" s="113"/>
    </row>
    <row r="233" spans="1:14" s="8" customFormat="1" ht="15" customHeight="1" hidden="1">
      <c r="A233" s="142" t="s">
        <v>330</v>
      </c>
      <c r="B233" s="487"/>
      <c r="C233" s="115">
        <v>340</v>
      </c>
      <c r="D233" s="488" t="s">
        <v>522</v>
      </c>
      <c r="E233" s="115">
        <v>244</v>
      </c>
      <c r="F233" s="115">
        <v>346</v>
      </c>
      <c r="G233" s="117" t="s">
        <v>532</v>
      </c>
      <c r="H233" s="491">
        <f t="shared" si="12"/>
        <v>0</v>
      </c>
      <c r="I233" s="486"/>
      <c r="J233" s="125"/>
      <c r="K233" s="113"/>
      <c r="L233" s="113"/>
      <c r="M233" s="113"/>
      <c r="N233" s="113"/>
    </row>
    <row r="234" spans="1:14" s="8" customFormat="1" ht="15" customHeight="1">
      <c r="A234" s="142" t="s">
        <v>330</v>
      </c>
      <c r="B234" s="115"/>
      <c r="C234" s="115">
        <v>346</v>
      </c>
      <c r="D234" s="116" t="s">
        <v>794</v>
      </c>
      <c r="E234" s="115">
        <v>244</v>
      </c>
      <c r="F234" s="115">
        <v>346</v>
      </c>
      <c r="G234" s="102" t="s">
        <v>799</v>
      </c>
      <c r="H234" s="118">
        <f t="shared" si="12"/>
        <v>7042.14</v>
      </c>
      <c r="I234" s="125"/>
      <c r="J234" s="467">
        <v>7042.14</v>
      </c>
      <c r="K234" s="113"/>
      <c r="L234" s="113"/>
      <c r="M234" s="113"/>
      <c r="N234" s="113"/>
    </row>
    <row r="235" spans="1:14" s="8" customFormat="1" ht="15" customHeight="1">
      <c r="A235" s="142" t="s">
        <v>330</v>
      </c>
      <c r="B235" s="115"/>
      <c r="C235" s="115">
        <v>349</v>
      </c>
      <c r="D235" s="116" t="s">
        <v>521</v>
      </c>
      <c r="E235" s="115">
        <v>244</v>
      </c>
      <c r="F235" s="115">
        <v>349</v>
      </c>
      <c r="G235" s="102" t="s">
        <v>533</v>
      </c>
      <c r="H235" s="118">
        <f t="shared" si="12"/>
        <v>100000</v>
      </c>
      <c r="I235" s="125"/>
      <c r="J235" s="467"/>
      <c r="K235" s="113"/>
      <c r="L235" s="113"/>
      <c r="M235" s="113">
        <v>100000</v>
      </c>
      <c r="N235" s="113"/>
    </row>
    <row r="236" spans="1:14" s="8" customFormat="1" ht="15" customHeight="1">
      <c r="A236" s="142" t="s">
        <v>330</v>
      </c>
      <c r="B236" s="115"/>
      <c r="C236" s="115">
        <v>349</v>
      </c>
      <c r="D236" s="116" t="s">
        <v>796</v>
      </c>
      <c r="E236" s="115">
        <v>244</v>
      </c>
      <c r="F236" s="115">
        <v>349</v>
      </c>
      <c r="G236" s="564" t="s">
        <v>797</v>
      </c>
      <c r="H236" s="118">
        <f t="shared" si="12"/>
        <v>12915</v>
      </c>
      <c r="I236" s="125"/>
      <c r="J236" s="467">
        <v>12915</v>
      </c>
      <c r="K236" s="113"/>
      <c r="L236" s="113"/>
      <c r="M236" s="113"/>
      <c r="N236" s="113"/>
    </row>
    <row r="237" spans="1:14" s="8" customFormat="1" ht="15" customHeight="1">
      <c r="A237" s="142" t="s">
        <v>330</v>
      </c>
      <c r="B237" s="115"/>
      <c r="C237" s="115">
        <v>349</v>
      </c>
      <c r="D237" s="116" t="s">
        <v>795</v>
      </c>
      <c r="E237" s="115">
        <v>244</v>
      </c>
      <c r="F237" s="115">
        <v>349</v>
      </c>
      <c r="G237" s="564" t="s">
        <v>797</v>
      </c>
      <c r="H237" s="118">
        <f t="shared" si="12"/>
        <v>1440</v>
      </c>
      <c r="I237" s="125"/>
      <c r="J237" s="467">
        <v>1440</v>
      </c>
      <c r="K237" s="113"/>
      <c r="L237" s="113"/>
      <c r="M237" s="113"/>
      <c r="N237" s="113"/>
    </row>
    <row r="238" spans="1:14" s="8" customFormat="1" ht="15" customHeight="1">
      <c r="A238" s="142" t="s">
        <v>331</v>
      </c>
      <c r="B238" s="115"/>
      <c r="C238" s="115"/>
      <c r="D238" s="115"/>
      <c r="E238" s="115"/>
      <c r="F238" s="115"/>
      <c r="G238" s="122"/>
      <c r="H238" s="118">
        <f t="shared" si="12"/>
        <v>0</v>
      </c>
      <c r="I238" s="125">
        <v>0</v>
      </c>
      <c r="J238" s="467"/>
      <c r="K238" s="113"/>
      <c r="L238" s="113"/>
      <c r="M238" s="113"/>
      <c r="N238" s="113"/>
    </row>
    <row r="239" spans="1:14" s="8" customFormat="1" ht="17.25" customHeight="1">
      <c r="A239" s="142" t="s">
        <v>332</v>
      </c>
      <c r="B239" s="115"/>
      <c r="C239" s="115">
        <v>530</v>
      </c>
      <c r="D239" s="115"/>
      <c r="E239" s="115">
        <v>465</v>
      </c>
      <c r="F239" s="115">
        <v>530</v>
      </c>
      <c r="G239" s="122"/>
      <c r="H239" s="118"/>
      <c r="I239" s="125"/>
      <c r="J239" s="467"/>
      <c r="K239" s="113"/>
      <c r="L239" s="113"/>
      <c r="M239" s="113"/>
      <c r="N239" s="113"/>
    </row>
    <row r="240" spans="1:14" s="161" customFormat="1" ht="17.25" customHeight="1">
      <c r="A240" s="156" t="s">
        <v>333</v>
      </c>
      <c r="B240" s="157"/>
      <c r="C240" s="157">
        <v>226</v>
      </c>
      <c r="D240" s="157"/>
      <c r="E240" s="157">
        <v>244</v>
      </c>
      <c r="F240" s="157">
        <v>226</v>
      </c>
      <c r="G240" s="158"/>
      <c r="H240" s="159">
        <f>I240+J240+K240+L240+M240+N240</f>
        <v>3383987.8899999997</v>
      </c>
      <c r="I240" s="160">
        <f>SUM(I242:I251)</f>
        <v>1539495.9</v>
      </c>
      <c r="J240" s="468">
        <f>J242+J243+J244+J254+J252+J253+J255</f>
        <v>133215.3</v>
      </c>
      <c r="K240" s="160">
        <f>K242+K243+K244</f>
        <v>0</v>
      </c>
      <c r="L240" s="160">
        <f>L242+L243+L244</f>
        <v>0</v>
      </c>
      <c r="M240" s="160">
        <f>SUM(M243:M257)</f>
        <v>1711276.69</v>
      </c>
      <c r="N240" s="160">
        <f>N242+N243+N244</f>
        <v>0</v>
      </c>
    </row>
    <row r="241" spans="1:14" s="8" customFormat="1" ht="17.25" customHeight="1">
      <c r="A241" s="142" t="s">
        <v>4</v>
      </c>
      <c r="B241" s="115"/>
      <c r="C241" s="115"/>
      <c r="D241" s="115"/>
      <c r="E241" s="115"/>
      <c r="F241" s="115"/>
      <c r="G241" s="122"/>
      <c r="H241" s="118"/>
      <c r="I241" s="125"/>
      <c r="J241" s="467"/>
      <c r="K241" s="113"/>
      <c r="L241" s="113"/>
      <c r="M241" s="113"/>
      <c r="N241" s="113"/>
    </row>
    <row r="242" spans="1:14" s="8" customFormat="1" ht="17.25" customHeight="1">
      <c r="A242" s="142" t="s">
        <v>334</v>
      </c>
      <c r="B242" s="115"/>
      <c r="C242" s="115"/>
      <c r="D242" s="115"/>
      <c r="E242" s="115"/>
      <c r="F242" s="115"/>
      <c r="G242" s="122"/>
      <c r="H242" s="118">
        <f aca="true" t="shared" si="13" ref="H242:H258">I242+J242+K242+L242+M242+N242</f>
        <v>0</v>
      </c>
      <c r="I242" s="125"/>
      <c r="J242" s="467"/>
      <c r="K242" s="113"/>
      <c r="L242" s="113"/>
      <c r="M242" s="113"/>
      <c r="N242" s="113"/>
    </row>
    <row r="243" spans="1:14" s="8" customFormat="1" ht="28.5" customHeight="1">
      <c r="A243" s="142" t="s">
        <v>335</v>
      </c>
      <c r="B243" s="115"/>
      <c r="C243" s="115"/>
      <c r="D243" s="115"/>
      <c r="E243" s="115"/>
      <c r="F243" s="115"/>
      <c r="G243" s="122"/>
      <c r="H243" s="118">
        <f t="shared" si="13"/>
        <v>0</v>
      </c>
      <c r="I243" s="125"/>
      <c r="J243" s="467"/>
      <c r="K243" s="113"/>
      <c r="L243" s="113"/>
      <c r="M243" s="113"/>
      <c r="N243" s="113"/>
    </row>
    <row r="244" spans="1:14" s="8" customFormat="1" ht="17.25" customHeight="1">
      <c r="A244" s="142" t="s">
        <v>336</v>
      </c>
      <c r="B244" s="115"/>
      <c r="C244" s="115">
        <v>226</v>
      </c>
      <c r="D244" s="116" t="s">
        <v>522</v>
      </c>
      <c r="E244" s="115">
        <v>244</v>
      </c>
      <c r="F244" s="115">
        <v>226</v>
      </c>
      <c r="G244" s="102" t="s">
        <v>531</v>
      </c>
      <c r="H244" s="118">
        <f t="shared" si="13"/>
        <v>105269</v>
      </c>
      <c r="I244" s="125">
        <f>101269+4000</f>
        <v>105269</v>
      </c>
      <c r="J244" s="467"/>
      <c r="K244" s="113"/>
      <c r="L244" s="113"/>
      <c r="M244" s="113"/>
      <c r="N244" s="113"/>
    </row>
    <row r="245" spans="1:14" s="8" customFormat="1" ht="17.25" customHeight="1">
      <c r="A245" s="142" t="s">
        <v>336</v>
      </c>
      <c r="B245" s="115"/>
      <c r="C245" s="115">
        <v>226</v>
      </c>
      <c r="D245" s="116" t="s">
        <v>522</v>
      </c>
      <c r="E245" s="115">
        <v>244</v>
      </c>
      <c r="F245" s="115">
        <v>226</v>
      </c>
      <c r="G245" s="102" t="s">
        <v>532</v>
      </c>
      <c r="H245" s="118">
        <f t="shared" si="13"/>
        <v>351045.33999999997</v>
      </c>
      <c r="I245" s="125">
        <f>204187.9+146857.44</f>
        <v>351045.33999999997</v>
      </c>
      <c r="J245" s="467"/>
      <c r="K245" s="113"/>
      <c r="L245" s="113"/>
      <c r="M245" s="113"/>
      <c r="N245" s="113"/>
    </row>
    <row r="246" spans="1:14" s="8" customFormat="1" ht="17.25" customHeight="1">
      <c r="A246" s="142" t="s">
        <v>336</v>
      </c>
      <c r="B246" s="115"/>
      <c r="C246" s="115">
        <v>226</v>
      </c>
      <c r="D246" s="116" t="s">
        <v>522</v>
      </c>
      <c r="E246" s="115">
        <v>244</v>
      </c>
      <c r="F246" s="115">
        <v>226</v>
      </c>
      <c r="G246" s="102" t="s">
        <v>792</v>
      </c>
      <c r="H246" s="118">
        <f t="shared" si="13"/>
        <v>312180</v>
      </c>
      <c r="I246" s="125">
        <v>312180</v>
      </c>
      <c r="J246" s="467"/>
      <c r="K246" s="113"/>
      <c r="L246" s="113"/>
      <c r="M246" s="113"/>
      <c r="N246" s="113"/>
    </row>
    <row r="247" spans="1:14" s="8" customFormat="1" ht="17.25" customHeight="1">
      <c r="A247" s="142" t="s">
        <v>335</v>
      </c>
      <c r="B247" s="487"/>
      <c r="C247" s="392">
        <v>226</v>
      </c>
      <c r="D247" s="488" t="s">
        <v>522</v>
      </c>
      <c r="E247" s="392">
        <v>244</v>
      </c>
      <c r="F247" s="392">
        <v>226</v>
      </c>
      <c r="G247" s="563" t="s">
        <v>825</v>
      </c>
      <c r="H247" s="491">
        <f t="shared" si="13"/>
        <v>3000</v>
      </c>
      <c r="I247" s="486">
        <v>3000</v>
      </c>
      <c r="J247" s="467"/>
      <c r="K247" s="113"/>
      <c r="L247" s="113"/>
      <c r="M247" s="113"/>
      <c r="N247" s="113"/>
    </row>
    <row r="248" spans="1:14" s="8" customFormat="1" ht="17.25" customHeight="1">
      <c r="A248" s="142" t="s">
        <v>336</v>
      </c>
      <c r="B248" s="487"/>
      <c r="C248" s="392">
        <v>226</v>
      </c>
      <c r="D248" s="488" t="s">
        <v>522</v>
      </c>
      <c r="E248" s="392">
        <v>244</v>
      </c>
      <c r="F248" s="392">
        <v>226</v>
      </c>
      <c r="G248" s="180" t="s">
        <v>535</v>
      </c>
      <c r="H248" s="491">
        <f>I248+J248+K248+L248+M248+N248</f>
        <v>8000</v>
      </c>
      <c r="I248" s="486">
        <v>8000</v>
      </c>
      <c r="J248" s="467"/>
      <c r="K248" s="113"/>
      <c r="L248" s="113"/>
      <c r="M248" s="113"/>
      <c r="N248" s="113"/>
    </row>
    <row r="249" spans="1:14" s="8" customFormat="1" ht="17.25" customHeight="1" hidden="1">
      <c r="A249" s="142" t="s">
        <v>336</v>
      </c>
      <c r="B249" s="487"/>
      <c r="C249" s="392">
        <v>226</v>
      </c>
      <c r="D249" s="488" t="s">
        <v>522</v>
      </c>
      <c r="E249" s="392">
        <v>244</v>
      </c>
      <c r="F249" s="392">
        <v>226</v>
      </c>
      <c r="G249" s="180" t="s">
        <v>531</v>
      </c>
      <c r="H249" s="491">
        <f t="shared" si="13"/>
        <v>0</v>
      </c>
      <c r="I249" s="486"/>
      <c r="J249" s="467"/>
      <c r="K249" s="113"/>
      <c r="L249" s="113"/>
      <c r="M249" s="113"/>
      <c r="N249" s="113"/>
    </row>
    <row r="250" spans="1:14" s="8" customFormat="1" ht="17.25" customHeight="1">
      <c r="A250" s="142" t="s">
        <v>336</v>
      </c>
      <c r="B250" s="487"/>
      <c r="C250" s="115">
        <v>226</v>
      </c>
      <c r="D250" s="488" t="s">
        <v>522</v>
      </c>
      <c r="E250" s="115">
        <v>244</v>
      </c>
      <c r="F250" s="115">
        <v>226</v>
      </c>
      <c r="G250" s="563" t="s">
        <v>825</v>
      </c>
      <c r="H250" s="491">
        <f t="shared" si="13"/>
        <v>760001.56</v>
      </c>
      <c r="I250" s="486">
        <v>760001.56</v>
      </c>
      <c r="J250" s="467"/>
      <c r="K250" s="113"/>
      <c r="L250" s="113"/>
      <c r="M250" s="113"/>
      <c r="N250" s="113"/>
    </row>
    <row r="251" spans="1:14" s="8" customFormat="1" ht="17.25" customHeight="1" hidden="1">
      <c r="A251" s="142" t="s">
        <v>336</v>
      </c>
      <c r="B251" s="487"/>
      <c r="C251" s="115">
        <v>226</v>
      </c>
      <c r="D251" s="488" t="s">
        <v>522</v>
      </c>
      <c r="E251" s="115">
        <v>244</v>
      </c>
      <c r="F251" s="115">
        <v>226</v>
      </c>
      <c r="G251" s="117" t="s">
        <v>532</v>
      </c>
      <c r="H251" s="491">
        <f t="shared" si="13"/>
        <v>0</v>
      </c>
      <c r="I251" s="486"/>
      <c r="J251" s="467"/>
      <c r="K251" s="113"/>
      <c r="L251" s="113"/>
      <c r="M251" s="113"/>
      <c r="N251" s="113"/>
    </row>
    <row r="252" spans="1:14" s="8" customFormat="1" ht="17.25" customHeight="1">
      <c r="A252" s="142" t="s">
        <v>336</v>
      </c>
      <c r="B252" s="487"/>
      <c r="C252" s="115">
        <v>226</v>
      </c>
      <c r="D252" s="488" t="s">
        <v>843</v>
      </c>
      <c r="E252" s="115">
        <v>244</v>
      </c>
      <c r="F252" s="115">
        <v>226</v>
      </c>
      <c r="G252" s="117" t="s">
        <v>844</v>
      </c>
      <c r="H252" s="491">
        <f t="shared" si="13"/>
        <v>112000</v>
      </c>
      <c r="I252" s="486"/>
      <c r="J252" s="467">
        <f>56000*2</f>
        <v>112000</v>
      </c>
      <c r="K252" s="113"/>
      <c r="L252" s="113"/>
      <c r="M252" s="113"/>
      <c r="N252" s="113"/>
    </row>
    <row r="253" spans="1:14" s="8" customFormat="1" ht="17.25" customHeight="1" hidden="1">
      <c r="A253" s="142" t="s">
        <v>842</v>
      </c>
      <c r="B253" s="487"/>
      <c r="C253" s="115">
        <v>226</v>
      </c>
      <c r="D253" s="498" t="s">
        <v>843</v>
      </c>
      <c r="E253" s="115">
        <v>244</v>
      </c>
      <c r="F253" s="115">
        <v>226</v>
      </c>
      <c r="G253" s="117" t="s">
        <v>844</v>
      </c>
      <c r="H253" s="491">
        <f>I253+J253+K253+L253+M253+N253</f>
        <v>0</v>
      </c>
      <c r="I253" s="485">
        <v>0</v>
      </c>
      <c r="J253" s="486"/>
      <c r="K253" s="113"/>
      <c r="L253" s="113"/>
      <c r="M253" s="113"/>
      <c r="N253" s="113"/>
    </row>
    <row r="254" spans="1:14" s="8" customFormat="1" ht="17.25" customHeight="1">
      <c r="A254" s="142" t="s">
        <v>336</v>
      </c>
      <c r="B254" s="115"/>
      <c r="C254" s="115">
        <v>226</v>
      </c>
      <c r="D254" s="116">
        <v>901270000</v>
      </c>
      <c r="E254" s="115">
        <v>244</v>
      </c>
      <c r="F254" s="115">
        <v>226</v>
      </c>
      <c r="G254" s="102" t="s">
        <v>799</v>
      </c>
      <c r="H254" s="118">
        <f t="shared" si="13"/>
        <v>11215.3</v>
      </c>
      <c r="I254" s="125"/>
      <c r="J254" s="467">
        <v>11215.3</v>
      </c>
      <c r="K254" s="113"/>
      <c r="L254" s="113"/>
      <c r="M254" s="113"/>
      <c r="N254" s="113"/>
    </row>
    <row r="255" spans="1:14" s="8" customFormat="1" ht="17.25" customHeight="1">
      <c r="A255" s="142" t="s">
        <v>336</v>
      </c>
      <c r="B255" s="115"/>
      <c r="C255" s="115">
        <v>226</v>
      </c>
      <c r="D255" s="116" t="s">
        <v>958</v>
      </c>
      <c r="E255" s="115">
        <v>244</v>
      </c>
      <c r="F255" s="115">
        <v>226</v>
      </c>
      <c r="G255" s="122">
        <v>91600000003</v>
      </c>
      <c r="H255" s="118"/>
      <c r="I255" s="125"/>
      <c r="J255" s="467">
        <v>10000</v>
      </c>
      <c r="K255" s="113"/>
      <c r="L255" s="113"/>
      <c r="M255" s="113"/>
      <c r="N255" s="113"/>
    </row>
    <row r="256" spans="1:14" s="8" customFormat="1" ht="17.25" customHeight="1">
      <c r="A256" s="142" t="s">
        <v>336</v>
      </c>
      <c r="B256" s="115"/>
      <c r="C256" s="115">
        <v>226</v>
      </c>
      <c r="D256" s="116" t="s">
        <v>521</v>
      </c>
      <c r="E256" s="115">
        <v>244</v>
      </c>
      <c r="F256" s="115">
        <v>226</v>
      </c>
      <c r="G256" s="102" t="s">
        <v>533</v>
      </c>
      <c r="H256" s="118">
        <f t="shared" si="13"/>
        <v>1711276.69</v>
      </c>
      <c r="I256" s="125">
        <v>0</v>
      </c>
      <c r="J256" s="125"/>
      <c r="K256" s="113"/>
      <c r="L256" s="113"/>
      <c r="M256" s="113">
        <f>1519276.69-1000+193000</f>
        <v>1711276.69</v>
      </c>
      <c r="N256" s="113"/>
    </row>
    <row r="257" spans="1:14" s="8" customFormat="1" ht="17.25" customHeight="1">
      <c r="A257" s="142" t="s">
        <v>336</v>
      </c>
      <c r="B257" s="487"/>
      <c r="C257" s="115">
        <v>226</v>
      </c>
      <c r="D257" s="498" t="s">
        <v>521</v>
      </c>
      <c r="E257" s="115">
        <v>244</v>
      </c>
      <c r="F257" s="115">
        <v>226</v>
      </c>
      <c r="G257" s="117" t="s">
        <v>533</v>
      </c>
      <c r="H257" s="491">
        <f t="shared" si="13"/>
        <v>0</v>
      </c>
      <c r="I257" s="485">
        <v>0</v>
      </c>
      <c r="J257" s="485">
        <v>0</v>
      </c>
      <c r="K257" s="499">
        <v>0</v>
      </c>
      <c r="L257" s="499">
        <v>0</v>
      </c>
      <c r="M257" s="497"/>
      <c r="N257" s="113"/>
    </row>
    <row r="258" spans="1:14" s="8" customFormat="1" ht="17.25" customHeight="1">
      <c r="A258" s="142" t="s">
        <v>400</v>
      </c>
      <c r="B258" s="115"/>
      <c r="C258" s="115">
        <v>297</v>
      </c>
      <c r="D258" s="116"/>
      <c r="E258" s="115">
        <v>244</v>
      </c>
      <c r="F258" s="115">
        <v>296</v>
      </c>
      <c r="G258" s="102"/>
      <c r="H258" s="118">
        <f t="shared" si="13"/>
        <v>0</v>
      </c>
      <c r="I258" s="125"/>
      <c r="J258" s="125"/>
      <c r="K258" s="113"/>
      <c r="L258" s="113"/>
      <c r="M258" s="113">
        <v>0</v>
      </c>
      <c r="N258" s="113"/>
    </row>
    <row r="259" spans="1:14" s="8" customFormat="1" ht="17.25" customHeight="1">
      <c r="A259" s="136" t="s">
        <v>53</v>
      </c>
      <c r="B259" s="115">
        <v>300</v>
      </c>
      <c r="C259" s="115" t="s">
        <v>10</v>
      </c>
      <c r="D259" s="115"/>
      <c r="E259" s="115"/>
      <c r="F259" s="115" t="s">
        <v>10</v>
      </c>
      <c r="G259" s="122"/>
      <c r="H259" s="118">
        <f>H261+H262</f>
        <v>0</v>
      </c>
      <c r="I259" s="125">
        <f aca="true" t="shared" si="14" ref="I259:N259">I261+I262</f>
        <v>0</v>
      </c>
      <c r="J259" s="125">
        <f t="shared" si="14"/>
        <v>0</v>
      </c>
      <c r="K259" s="125">
        <f t="shared" si="14"/>
        <v>0</v>
      </c>
      <c r="L259" s="125">
        <f t="shared" si="14"/>
        <v>0</v>
      </c>
      <c r="M259" s="125">
        <f t="shared" si="14"/>
        <v>0</v>
      </c>
      <c r="N259" s="125">
        <f t="shared" si="14"/>
        <v>0</v>
      </c>
    </row>
    <row r="260" spans="1:14" s="8" customFormat="1" ht="14.25" customHeight="1">
      <c r="A260" s="136" t="s">
        <v>3</v>
      </c>
      <c r="B260" s="115"/>
      <c r="C260" s="148"/>
      <c r="D260" s="115"/>
      <c r="E260" s="115"/>
      <c r="F260" s="148"/>
      <c r="G260" s="149"/>
      <c r="H260" s="118"/>
      <c r="I260" s="125"/>
      <c r="J260" s="125"/>
      <c r="K260" s="113"/>
      <c r="L260" s="113"/>
      <c r="M260" s="113"/>
      <c r="N260" s="113"/>
    </row>
    <row r="261" spans="1:14" s="8" customFormat="1" ht="16.5" customHeight="1">
      <c r="A261" s="136" t="s">
        <v>54</v>
      </c>
      <c r="B261" s="144">
        <v>310</v>
      </c>
      <c r="C261" s="150"/>
      <c r="D261" s="144"/>
      <c r="E261" s="144"/>
      <c r="F261" s="150"/>
      <c r="G261" s="151"/>
      <c r="H261" s="118">
        <f>I261+J261+K261+L261+M261+N261</f>
        <v>0</v>
      </c>
      <c r="I261" s="125"/>
      <c r="J261" s="125"/>
      <c r="K261" s="113"/>
      <c r="L261" s="113"/>
      <c r="M261" s="113"/>
      <c r="N261" s="113"/>
    </row>
    <row r="262" spans="1:14" s="152" customFormat="1" ht="15" customHeight="1">
      <c r="A262" s="136" t="s">
        <v>55</v>
      </c>
      <c r="B262" s="115">
        <v>320</v>
      </c>
      <c r="C262" s="115"/>
      <c r="D262" s="115"/>
      <c r="E262" s="115"/>
      <c r="F262" s="115"/>
      <c r="G262" s="122"/>
      <c r="H262" s="118">
        <f>I262+J262+K262+L262+M262+N262</f>
        <v>0</v>
      </c>
      <c r="I262" s="125"/>
      <c r="J262" s="125"/>
      <c r="K262" s="113"/>
      <c r="L262" s="113"/>
      <c r="M262" s="113"/>
      <c r="N262" s="113"/>
    </row>
    <row r="263" spans="1:14" s="152" customFormat="1" ht="17.25" customHeight="1">
      <c r="A263" s="136" t="s">
        <v>56</v>
      </c>
      <c r="B263" s="115">
        <v>400</v>
      </c>
      <c r="C263" s="115"/>
      <c r="D263" s="115"/>
      <c r="E263" s="115"/>
      <c r="F263" s="115"/>
      <c r="G263" s="122"/>
      <c r="H263" s="118">
        <f>H265+H266</f>
        <v>0</v>
      </c>
      <c r="I263" s="125">
        <f aca="true" t="shared" si="15" ref="I263:N263">I265+I266</f>
        <v>0</v>
      </c>
      <c r="J263" s="125">
        <f t="shared" si="15"/>
        <v>0</v>
      </c>
      <c r="K263" s="125">
        <f t="shared" si="15"/>
        <v>0</v>
      </c>
      <c r="L263" s="125">
        <f t="shared" si="15"/>
        <v>0</v>
      </c>
      <c r="M263" s="125">
        <f t="shared" si="15"/>
        <v>0</v>
      </c>
      <c r="N263" s="125">
        <f t="shared" si="15"/>
        <v>0</v>
      </c>
    </row>
    <row r="264" spans="1:14" s="152" customFormat="1" ht="14.25" customHeight="1">
      <c r="A264" s="136" t="s">
        <v>3</v>
      </c>
      <c r="B264" s="115"/>
      <c r="C264" s="148"/>
      <c r="D264" s="115"/>
      <c r="E264" s="115"/>
      <c r="F264" s="148"/>
      <c r="G264" s="149"/>
      <c r="H264" s="118"/>
      <c r="I264" s="125"/>
      <c r="J264" s="125"/>
      <c r="K264" s="113"/>
      <c r="L264" s="113"/>
      <c r="M264" s="113"/>
      <c r="N264" s="113"/>
    </row>
    <row r="265" spans="1:14" s="152" customFormat="1" ht="15.75" customHeight="1">
      <c r="A265" s="136" t="s">
        <v>57</v>
      </c>
      <c r="B265" s="144">
        <v>410</v>
      </c>
      <c r="C265" s="150"/>
      <c r="D265" s="144"/>
      <c r="E265" s="144"/>
      <c r="F265" s="150"/>
      <c r="G265" s="151"/>
      <c r="H265" s="118">
        <f aca="true" t="shared" si="16" ref="H265:H287">I265+J265+K265+L265+M265+N265</f>
        <v>0</v>
      </c>
      <c r="I265" s="125"/>
      <c r="J265" s="125"/>
      <c r="K265" s="113"/>
      <c r="L265" s="113"/>
      <c r="M265" s="113"/>
      <c r="N265" s="113"/>
    </row>
    <row r="266" spans="1:14" s="152" customFormat="1" ht="13.5" customHeight="1">
      <c r="A266" s="136" t="s">
        <v>58</v>
      </c>
      <c r="B266" s="115">
        <v>420</v>
      </c>
      <c r="C266" s="115"/>
      <c r="D266" s="115"/>
      <c r="E266" s="115"/>
      <c r="F266" s="115"/>
      <c r="G266" s="122"/>
      <c r="H266" s="118">
        <f t="shared" si="16"/>
        <v>0</v>
      </c>
      <c r="I266" s="125"/>
      <c r="J266" s="125"/>
      <c r="K266" s="113"/>
      <c r="L266" s="113"/>
      <c r="M266" s="113"/>
      <c r="N266" s="113"/>
    </row>
    <row r="267" spans="1:14" s="152" customFormat="1" ht="28.5" customHeight="1">
      <c r="A267" s="136" t="s">
        <v>337</v>
      </c>
      <c r="B267" s="115">
        <v>500</v>
      </c>
      <c r="C267" s="115" t="s">
        <v>10</v>
      </c>
      <c r="D267" s="115"/>
      <c r="E267" s="115"/>
      <c r="F267" s="115" t="s">
        <v>10</v>
      </c>
      <c r="G267" s="122"/>
      <c r="H267" s="118">
        <f>I267+J267+K267+L267+M267+N267</f>
        <v>10467996.099999998</v>
      </c>
      <c r="I267" s="125">
        <f>I277+I278+I275+I276</f>
        <v>4563145.55</v>
      </c>
      <c r="J267" s="125">
        <f>SUM(J268:J286)</f>
        <v>685308.35</v>
      </c>
      <c r="K267" s="125">
        <f>K268+K277</f>
        <v>0</v>
      </c>
      <c r="L267" s="125">
        <f>L268+L277</f>
        <v>0</v>
      </c>
      <c r="M267" s="125">
        <f>SUM(M268:M280)</f>
        <v>5219542.199999999</v>
      </c>
      <c r="N267" s="125">
        <f>N268+N277</f>
        <v>0</v>
      </c>
    </row>
    <row r="268" spans="1:14" s="152" customFormat="1" ht="18" customHeight="1">
      <c r="A268" s="136" t="s">
        <v>59</v>
      </c>
      <c r="B268" s="115"/>
      <c r="C268" s="115">
        <v>121</v>
      </c>
      <c r="D268" s="116" t="s">
        <v>521</v>
      </c>
      <c r="E268" s="115"/>
      <c r="F268" s="115">
        <v>121</v>
      </c>
      <c r="G268" s="117" t="s">
        <v>363</v>
      </c>
      <c r="H268" s="118">
        <f t="shared" si="16"/>
        <v>1051898.98</v>
      </c>
      <c r="I268" s="153">
        <v>0</v>
      </c>
      <c r="J268" s="125"/>
      <c r="K268" s="113"/>
      <c r="L268" s="113"/>
      <c r="M268" s="113">
        <f>1051898.98</f>
        <v>1051898.98</v>
      </c>
      <c r="N268" s="113"/>
    </row>
    <row r="269" spans="1:14" s="152" customFormat="1" ht="18" customHeight="1">
      <c r="A269" s="136" t="s">
        <v>59</v>
      </c>
      <c r="B269" s="115"/>
      <c r="C269" s="115">
        <v>124</v>
      </c>
      <c r="D269" s="116" t="s">
        <v>521</v>
      </c>
      <c r="E269" s="115"/>
      <c r="F269" s="115">
        <v>124</v>
      </c>
      <c r="G269" s="117" t="s">
        <v>363</v>
      </c>
      <c r="H269" s="118">
        <f t="shared" si="16"/>
        <v>122859.79</v>
      </c>
      <c r="I269" s="153">
        <v>0</v>
      </c>
      <c r="J269" s="125"/>
      <c r="K269" s="113"/>
      <c r="L269" s="113"/>
      <c r="M269" s="113">
        <v>122859.79</v>
      </c>
      <c r="N269" s="113"/>
    </row>
    <row r="270" spans="1:14" s="152" customFormat="1" ht="18" customHeight="1">
      <c r="A270" s="136" t="s">
        <v>59</v>
      </c>
      <c r="B270" s="115"/>
      <c r="C270" s="115">
        <v>131</v>
      </c>
      <c r="D270" s="116" t="s">
        <v>521</v>
      </c>
      <c r="E270" s="115"/>
      <c r="F270" s="115">
        <v>131</v>
      </c>
      <c r="G270" s="117" t="s">
        <v>363</v>
      </c>
      <c r="H270" s="118">
        <f t="shared" si="16"/>
        <v>3930210.26</v>
      </c>
      <c r="I270" s="153">
        <v>0</v>
      </c>
      <c r="J270" s="125"/>
      <c r="K270" s="113"/>
      <c r="L270" s="113"/>
      <c r="M270" s="113">
        <f>3071859.19+32320.45+72402.32+10160+743468.3</f>
        <v>3930210.26</v>
      </c>
      <c r="N270" s="113"/>
    </row>
    <row r="271" spans="1:14" s="152" customFormat="1" ht="18" customHeight="1">
      <c r="A271" s="136" t="s">
        <v>59</v>
      </c>
      <c r="B271" s="115"/>
      <c r="C271" s="115">
        <v>135</v>
      </c>
      <c r="D271" s="116" t="s">
        <v>521</v>
      </c>
      <c r="E271" s="115"/>
      <c r="F271" s="115">
        <v>135</v>
      </c>
      <c r="G271" s="117" t="s">
        <v>363</v>
      </c>
      <c r="H271" s="118">
        <f aca="true" t="shared" si="17" ref="H271:H276">I271+J271+K271+L271+M271+N271</f>
        <v>99469.92</v>
      </c>
      <c r="I271" s="153">
        <v>0</v>
      </c>
      <c r="J271" s="125"/>
      <c r="K271" s="113"/>
      <c r="L271" s="113"/>
      <c r="M271" s="113">
        <v>99469.92</v>
      </c>
      <c r="N271" s="113"/>
    </row>
    <row r="272" spans="1:14" s="152" customFormat="1" ht="18" customHeight="1">
      <c r="A272" s="136" t="s">
        <v>59</v>
      </c>
      <c r="B272" s="115"/>
      <c r="C272" s="115">
        <v>155</v>
      </c>
      <c r="D272" s="116" t="s">
        <v>521</v>
      </c>
      <c r="E272" s="115"/>
      <c r="F272" s="115">
        <v>155</v>
      </c>
      <c r="G272" s="117" t="s">
        <v>363</v>
      </c>
      <c r="H272" s="118">
        <f t="shared" si="17"/>
        <v>15103.25</v>
      </c>
      <c r="I272" s="153">
        <v>0</v>
      </c>
      <c r="J272" s="125"/>
      <c r="K272" s="113"/>
      <c r="L272" s="113"/>
      <c r="M272" s="113">
        <f>103.25+15000</f>
        <v>15103.25</v>
      </c>
      <c r="N272" s="113"/>
    </row>
    <row r="273" spans="1:14" s="152" customFormat="1" ht="18" customHeight="1" hidden="1">
      <c r="A273" s="136" t="s">
        <v>59</v>
      </c>
      <c r="B273" s="487"/>
      <c r="C273" s="489">
        <v>131</v>
      </c>
      <c r="D273" s="498" t="s">
        <v>521</v>
      </c>
      <c r="E273" s="489"/>
      <c r="F273" s="489">
        <v>131</v>
      </c>
      <c r="G273" s="492" t="s">
        <v>363</v>
      </c>
      <c r="H273" s="491">
        <f t="shared" si="17"/>
        <v>0</v>
      </c>
      <c r="I273" s="496">
        <v>0</v>
      </c>
      <c r="J273" s="485">
        <v>0</v>
      </c>
      <c r="K273" s="499">
        <v>0</v>
      </c>
      <c r="L273" s="499">
        <v>0</v>
      </c>
      <c r="M273" s="497"/>
      <c r="N273" s="113"/>
    </row>
    <row r="274" spans="1:14" s="152" customFormat="1" ht="18" customHeight="1" hidden="1">
      <c r="A274" s="136" t="s">
        <v>59</v>
      </c>
      <c r="B274" s="487"/>
      <c r="C274" s="489">
        <v>155</v>
      </c>
      <c r="D274" s="498" t="s">
        <v>521</v>
      </c>
      <c r="E274" s="489"/>
      <c r="F274" s="489">
        <v>155</v>
      </c>
      <c r="G274" s="492" t="s">
        <v>363</v>
      </c>
      <c r="H274" s="491">
        <f t="shared" si="17"/>
        <v>0</v>
      </c>
      <c r="I274" s="496">
        <v>0</v>
      </c>
      <c r="J274" s="485">
        <v>0</v>
      </c>
      <c r="K274" s="499">
        <v>0</v>
      </c>
      <c r="L274" s="499"/>
      <c r="M274" s="497"/>
      <c r="N274" s="113"/>
    </row>
    <row r="275" spans="1:14" s="152" customFormat="1" ht="18" customHeight="1">
      <c r="A275" s="136" t="s">
        <v>59</v>
      </c>
      <c r="B275" s="487"/>
      <c r="C275" s="489">
        <v>131</v>
      </c>
      <c r="D275" s="488" t="s">
        <v>522</v>
      </c>
      <c r="E275" s="489"/>
      <c r="F275" s="489">
        <v>131</v>
      </c>
      <c r="G275" s="493" t="s">
        <v>525</v>
      </c>
      <c r="H275" s="491">
        <f t="shared" si="17"/>
        <v>1056346.27</v>
      </c>
      <c r="I275" s="497">
        <v>1056346.27</v>
      </c>
      <c r="J275" s="125"/>
      <c r="K275" s="113"/>
      <c r="L275" s="113"/>
      <c r="M275" s="113"/>
      <c r="N275" s="113"/>
    </row>
    <row r="276" spans="1:14" s="152" customFormat="1" ht="18" customHeight="1" hidden="1">
      <c r="A276" s="136" t="s">
        <v>59</v>
      </c>
      <c r="B276" s="487"/>
      <c r="C276" s="489">
        <v>131</v>
      </c>
      <c r="D276" s="488" t="s">
        <v>522</v>
      </c>
      <c r="E276" s="489"/>
      <c r="F276" s="489">
        <v>131</v>
      </c>
      <c r="G276" s="493" t="s">
        <v>523</v>
      </c>
      <c r="H276" s="491">
        <f t="shared" si="17"/>
        <v>0</v>
      </c>
      <c r="I276" s="497"/>
      <c r="J276" s="125"/>
      <c r="K276" s="113"/>
      <c r="L276" s="113"/>
      <c r="M276" s="113"/>
      <c r="N276" s="113"/>
    </row>
    <row r="277" spans="1:14" s="152" customFormat="1" ht="18" customHeight="1">
      <c r="A277" s="136" t="s">
        <v>59</v>
      </c>
      <c r="B277" s="115"/>
      <c r="C277" s="115">
        <v>131</v>
      </c>
      <c r="D277" s="116" t="s">
        <v>522</v>
      </c>
      <c r="E277" s="115"/>
      <c r="F277" s="115">
        <v>152</v>
      </c>
      <c r="G277" s="102" t="s">
        <v>526</v>
      </c>
      <c r="H277" s="118">
        <f t="shared" si="16"/>
        <v>2843953.2199999997</v>
      </c>
      <c r="I277" s="153">
        <f>2502598.75+341354.47</f>
        <v>2843953.2199999997</v>
      </c>
      <c r="J277" s="125"/>
      <c r="K277" s="113"/>
      <c r="L277" s="113"/>
      <c r="M277" s="113"/>
      <c r="N277" s="113"/>
    </row>
    <row r="278" spans="1:14" s="152" customFormat="1" ht="18" customHeight="1">
      <c r="A278" s="136" t="s">
        <v>59</v>
      </c>
      <c r="B278" s="115"/>
      <c r="C278" s="115">
        <v>131</v>
      </c>
      <c r="D278" s="116" t="s">
        <v>522</v>
      </c>
      <c r="E278" s="115"/>
      <c r="F278" s="115">
        <v>121</v>
      </c>
      <c r="G278" s="102" t="s">
        <v>527</v>
      </c>
      <c r="H278" s="118">
        <f t="shared" si="16"/>
        <v>662846.0599999999</v>
      </c>
      <c r="I278" s="153">
        <f>662558.44+287.62</f>
        <v>662846.0599999999</v>
      </c>
      <c r="J278" s="125"/>
      <c r="K278" s="113"/>
      <c r="L278" s="113"/>
      <c r="M278" s="113"/>
      <c r="N278" s="113"/>
    </row>
    <row r="279" spans="1:14" s="152" customFormat="1" ht="18" customHeight="1">
      <c r="A279" s="136" t="s">
        <v>59</v>
      </c>
      <c r="B279" s="115"/>
      <c r="C279" s="115">
        <v>152</v>
      </c>
      <c r="D279" s="116" t="s">
        <v>755</v>
      </c>
      <c r="E279" s="115"/>
      <c r="F279" s="115">
        <v>152</v>
      </c>
      <c r="G279" s="102" t="s">
        <v>526</v>
      </c>
      <c r="H279" s="118">
        <f t="shared" si="16"/>
        <v>501964.05000000005</v>
      </c>
      <c r="I279" s="153">
        <v>0</v>
      </c>
      <c r="J279" s="125">
        <f>409277.65+92686.4</f>
        <v>501964.05000000005</v>
      </c>
      <c r="K279" s="113"/>
      <c r="L279" s="113"/>
      <c r="M279" s="113"/>
      <c r="N279" s="113"/>
    </row>
    <row r="280" spans="1:14" s="152" customFormat="1" ht="18" customHeight="1">
      <c r="A280" s="136" t="s">
        <v>59</v>
      </c>
      <c r="B280" s="115"/>
      <c r="C280" s="115">
        <v>152</v>
      </c>
      <c r="D280" s="116" t="s">
        <v>756</v>
      </c>
      <c r="E280" s="115"/>
      <c r="F280" s="115">
        <v>152</v>
      </c>
      <c r="G280" s="102" t="s">
        <v>526</v>
      </c>
      <c r="H280" s="118">
        <f t="shared" si="16"/>
        <v>37449.32</v>
      </c>
      <c r="I280" s="153">
        <v>0</v>
      </c>
      <c r="J280" s="125">
        <f>36183.22+1266.1</f>
        <v>37449.32</v>
      </c>
      <c r="K280" s="113"/>
      <c r="L280" s="113"/>
      <c r="M280" s="113"/>
      <c r="N280" s="113"/>
    </row>
    <row r="281" spans="1:14" s="152" customFormat="1" ht="18" customHeight="1">
      <c r="A281" s="136" t="s">
        <v>59</v>
      </c>
      <c r="B281" s="115"/>
      <c r="C281" s="115">
        <v>152</v>
      </c>
      <c r="D281" s="116" t="s">
        <v>757</v>
      </c>
      <c r="E281" s="115"/>
      <c r="F281" s="115">
        <v>152</v>
      </c>
      <c r="G281" s="102" t="s">
        <v>526</v>
      </c>
      <c r="H281" s="118">
        <f>I281+J281+K281+L281+M281+N281</f>
        <v>91829.08</v>
      </c>
      <c r="I281" s="153">
        <v>0</v>
      </c>
      <c r="J281" s="125">
        <f>40124.4+51704.68</f>
        <v>91829.08</v>
      </c>
      <c r="K281" s="113"/>
      <c r="L281" s="113"/>
      <c r="M281" s="113"/>
      <c r="N281" s="113"/>
    </row>
    <row r="282" spans="1:14" s="152" customFormat="1" ht="18" customHeight="1">
      <c r="A282" s="136" t="s">
        <v>59</v>
      </c>
      <c r="B282" s="115"/>
      <c r="C282" s="115">
        <v>152</v>
      </c>
      <c r="D282" s="116" t="s">
        <v>758</v>
      </c>
      <c r="E282" s="115"/>
      <c r="F282" s="115">
        <v>152</v>
      </c>
      <c r="G282" s="102" t="s">
        <v>526</v>
      </c>
      <c r="H282" s="118">
        <f t="shared" si="16"/>
        <v>53116.98</v>
      </c>
      <c r="I282" s="153">
        <v>0</v>
      </c>
      <c r="J282" s="125">
        <v>53116.98</v>
      </c>
      <c r="K282" s="113"/>
      <c r="L282" s="113"/>
      <c r="M282" s="113"/>
      <c r="N282" s="113"/>
    </row>
    <row r="283" spans="1:14" s="152" customFormat="1" ht="18" customHeight="1" hidden="1">
      <c r="A283" s="136" t="s">
        <v>59</v>
      </c>
      <c r="B283" s="487"/>
      <c r="C283" s="489">
        <v>152</v>
      </c>
      <c r="D283" s="489">
        <v>901480000</v>
      </c>
      <c r="E283" s="489"/>
      <c r="F283" s="489">
        <v>152</v>
      </c>
      <c r="G283" s="492" t="s">
        <v>526</v>
      </c>
      <c r="H283" s="491">
        <f t="shared" si="16"/>
        <v>0</v>
      </c>
      <c r="I283" s="496">
        <v>0</v>
      </c>
      <c r="J283" s="486"/>
      <c r="K283" s="113"/>
      <c r="L283" s="113"/>
      <c r="M283" s="113"/>
      <c r="N283" s="113"/>
    </row>
    <row r="284" spans="1:14" s="152" customFormat="1" ht="18" customHeight="1" hidden="1">
      <c r="A284" s="136" t="s">
        <v>59</v>
      </c>
      <c r="B284" s="487"/>
      <c r="C284" s="489">
        <v>152</v>
      </c>
      <c r="D284" s="498" t="s">
        <v>756</v>
      </c>
      <c r="E284" s="489"/>
      <c r="F284" s="489">
        <v>152</v>
      </c>
      <c r="G284" s="492" t="s">
        <v>526</v>
      </c>
      <c r="H284" s="491">
        <f t="shared" si="16"/>
        <v>0</v>
      </c>
      <c r="I284" s="496">
        <v>0</v>
      </c>
      <c r="J284" s="486"/>
      <c r="K284" s="113"/>
      <c r="L284" s="113"/>
      <c r="M284" s="113"/>
      <c r="N284" s="113"/>
    </row>
    <row r="285" spans="1:14" s="152" customFormat="1" ht="18" customHeight="1" hidden="1">
      <c r="A285" s="136" t="s">
        <v>59</v>
      </c>
      <c r="B285" s="487"/>
      <c r="C285" s="489">
        <v>152</v>
      </c>
      <c r="D285" s="498" t="s">
        <v>757</v>
      </c>
      <c r="E285" s="489"/>
      <c r="F285" s="489">
        <v>152</v>
      </c>
      <c r="G285" s="492" t="s">
        <v>526</v>
      </c>
      <c r="H285" s="491">
        <f t="shared" si="16"/>
        <v>0</v>
      </c>
      <c r="I285" s="496">
        <v>0</v>
      </c>
      <c r="J285" s="486"/>
      <c r="K285" s="113"/>
      <c r="L285" s="113"/>
      <c r="M285" s="113"/>
      <c r="N285" s="113"/>
    </row>
    <row r="286" spans="1:14" s="152" customFormat="1" ht="18" customHeight="1">
      <c r="A286" s="136" t="s">
        <v>59</v>
      </c>
      <c r="B286" s="487"/>
      <c r="C286" s="489">
        <v>152</v>
      </c>
      <c r="D286" s="498" t="s">
        <v>827</v>
      </c>
      <c r="E286" s="489"/>
      <c r="F286" s="489">
        <v>152</v>
      </c>
      <c r="G286" s="492" t="s">
        <v>526</v>
      </c>
      <c r="H286" s="491">
        <f t="shared" si="16"/>
        <v>948.92</v>
      </c>
      <c r="I286" s="496">
        <v>0</v>
      </c>
      <c r="J286" s="485">
        <v>948.92</v>
      </c>
      <c r="K286" s="113"/>
      <c r="L286" s="113"/>
      <c r="M286" s="113"/>
      <c r="N286" s="113"/>
    </row>
    <row r="287" spans="1:14" s="152" customFormat="1" ht="18" customHeight="1">
      <c r="A287" s="136" t="s">
        <v>60</v>
      </c>
      <c r="B287" s="115">
        <v>600</v>
      </c>
      <c r="C287" s="115" t="s">
        <v>10</v>
      </c>
      <c r="D287" s="115"/>
      <c r="E287" s="115"/>
      <c r="F287" s="115" t="s">
        <v>10</v>
      </c>
      <c r="G287" s="122"/>
      <c r="H287" s="154">
        <f t="shared" si="16"/>
        <v>0</v>
      </c>
      <c r="I287" s="155">
        <f>I267+I11-I94</f>
        <v>0</v>
      </c>
      <c r="J287" s="506">
        <f>J267+J11-J94</f>
        <v>0</v>
      </c>
      <c r="K287" s="155">
        <f>K267+K11-K94</f>
        <v>0</v>
      </c>
      <c r="L287" s="155">
        <f>L267+L11-L94</f>
        <v>0</v>
      </c>
      <c r="M287" s="155">
        <f>M267+M11-M94</f>
        <v>0</v>
      </c>
      <c r="N287" s="120"/>
    </row>
    <row r="288" spans="1:14" ht="22.5">
      <c r="A288" s="38"/>
      <c r="B288" s="21"/>
      <c r="C288" s="21"/>
      <c r="D288" s="21"/>
      <c r="E288" s="21"/>
      <c r="F288" s="21"/>
      <c r="G288" s="21"/>
      <c r="H288" s="21"/>
      <c r="I288" s="28" t="s">
        <v>754</v>
      </c>
      <c r="J288" s="21"/>
      <c r="K288" s="21"/>
      <c r="L288" s="21"/>
      <c r="M288" s="21"/>
      <c r="N288" s="22" t="s">
        <v>77</v>
      </c>
    </row>
    <row r="289" spans="1:14" ht="14.25" customHeight="1">
      <c r="A289" s="38"/>
      <c r="B289" s="21"/>
      <c r="C289" s="21"/>
      <c r="D289" s="21"/>
      <c r="E289" s="21"/>
      <c r="F289" s="21"/>
      <c r="G289" s="21"/>
      <c r="H289" s="624"/>
      <c r="I289" s="624"/>
      <c r="J289" s="624"/>
      <c r="K289" s="624"/>
      <c r="L289" s="21"/>
      <c r="M289" s="21"/>
      <c r="N289" s="21"/>
    </row>
    <row r="290" spans="1:14" ht="12.75" customHeight="1">
      <c r="A290" s="38"/>
      <c r="B290" s="21"/>
      <c r="C290" s="21"/>
      <c r="D290" s="21"/>
      <c r="E290" s="21"/>
      <c r="F290" s="21"/>
      <c r="G290" s="21"/>
      <c r="H290" s="607" t="s">
        <v>41</v>
      </c>
      <c r="I290" s="607"/>
      <c r="J290" s="607"/>
      <c r="K290" s="607"/>
      <c r="L290" s="21"/>
      <c r="M290" s="21"/>
      <c r="N290" s="21"/>
    </row>
    <row r="291" spans="1:14" ht="12.75" customHeight="1">
      <c r="A291" s="38"/>
      <c r="B291" s="21"/>
      <c r="C291" s="21"/>
      <c r="D291" s="21"/>
      <c r="E291" s="21"/>
      <c r="F291" s="21"/>
      <c r="G291" s="21"/>
      <c r="H291" s="608" t="s">
        <v>519</v>
      </c>
      <c r="I291" s="608"/>
      <c r="J291" s="608"/>
      <c r="K291" s="608"/>
      <c r="L291" s="21"/>
      <c r="M291" s="21"/>
      <c r="N291" s="21"/>
    </row>
    <row r="292" spans="1:14" ht="12.75" customHeight="1">
      <c r="A292" s="38"/>
      <c r="B292" s="21"/>
      <c r="C292" s="21"/>
      <c r="D292" s="21"/>
      <c r="E292" s="21"/>
      <c r="F292" s="21"/>
      <c r="G292" s="21"/>
      <c r="H292" s="22"/>
      <c r="I292" s="22"/>
      <c r="J292" s="22"/>
      <c r="K292" s="22"/>
      <c r="L292" s="21"/>
      <c r="M292" s="21"/>
      <c r="N292" s="21"/>
    </row>
    <row r="293" spans="1:15" s="8" customFormat="1" ht="18" customHeight="1">
      <c r="A293" s="615" t="s">
        <v>1</v>
      </c>
      <c r="B293" s="605" t="s">
        <v>45</v>
      </c>
      <c r="C293" s="629" t="s">
        <v>397</v>
      </c>
      <c r="D293" s="618" t="s">
        <v>163</v>
      </c>
      <c r="E293" s="612" t="s">
        <v>164</v>
      </c>
      <c r="F293" s="605" t="s">
        <v>165</v>
      </c>
      <c r="G293" s="621" t="s">
        <v>338</v>
      </c>
      <c r="H293" s="609" t="s">
        <v>38</v>
      </c>
      <c r="I293" s="610"/>
      <c r="J293" s="610"/>
      <c r="K293" s="610"/>
      <c r="L293" s="610"/>
      <c r="M293" s="610"/>
      <c r="N293" s="611"/>
      <c r="O293" s="64"/>
    </row>
    <row r="294" spans="1:15" s="8" customFormat="1" ht="16.5" customHeight="1">
      <c r="A294" s="616"/>
      <c r="B294" s="605"/>
      <c r="C294" s="630"/>
      <c r="D294" s="619"/>
      <c r="E294" s="606"/>
      <c r="F294" s="605"/>
      <c r="G294" s="622"/>
      <c r="H294" s="612" t="s">
        <v>33</v>
      </c>
      <c r="I294" s="605" t="s">
        <v>4</v>
      </c>
      <c r="J294" s="605"/>
      <c r="K294" s="605"/>
      <c r="L294" s="605"/>
      <c r="M294" s="605"/>
      <c r="N294" s="605"/>
      <c r="O294" s="64"/>
    </row>
    <row r="295" spans="1:15" s="8" customFormat="1" ht="68.25" customHeight="1">
      <c r="A295" s="616"/>
      <c r="B295" s="605"/>
      <c r="C295" s="630"/>
      <c r="D295" s="619"/>
      <c r="E295" s="606"/>
      <c r="F295" s="605"/>
      <c r="G295" s="622"/>
      <c r="H295" s="606"/>
      <c r="I295" s="613" t="s">
        <v>398</v>
      </c>
      <c r="J295" s="625" t="s">
        <v>166</v>
      </c>
      <c r="K295" s="604" t="s">
        <v>34</v>
      </c>
      <c r="L295" s="606" t="s">
        <v>35</v>
      </c>
      <c r="M295" s="604" t="s">
        <v>50</v>
      </c>
      <c r="N295" s="604"/>
      <c r="O295" s="64"/>
    </row>
    <row r="296" spans="1:15" s="8" customFormat="1" ht="30.75" customHeight="1">
      <c r="A296" s="617"/>
      <c r="B296" s="605"/>
      <c r="C296" s="631"/>
      <c r="D296" s="620"/>
      <c r="E296" s="604"/>
      <c r="F296" s="605"/>
      <c r="G296" s="623"/>
      <c r="H296" s="604"/>
      <c r="I296" s="614"/>
      <c r="J296" s="626"/>
      <c r="K296" s="605"/>
      <c r="L296" s="604"/>
      <c r="M296" s="42" t="s">
        <v>36</v>
      </c>
      <c r="N296" s="42" t="s">
        <v>37</v>
      </c>
      <c r="O296" s="64"/>
    </row>
    <row r="297" spans="1:15" s="9" customFormat="1" ht="12">
      <c r="A297" s="24">
        <v>2</v>
      </c>
      <c r="B297" s="24">
        <v>3</v>
      </c>
      <c r="C297" s="24"/>
      <c r="D297" s="24">
        <v>4</v>
      </c>
      <c r="E297" s="24">
        <v>5</v>
      </c>
      <c r="F297" s="24">
        <v>6</v>
      </c>
      <c r="G297" s="24">
        <v>7</v>
      </c>
      <c r="H297" s="17">
        <v>8</v>
      </c>
      <c r="I297" s="17">
        <v>9</v>
      </c>
      <c r="J297" s="17">
        <v>10</v>
      </c>
      <c r="K297" s="17">
        <v>11</v>
      </c>
      <c r="L297" s="17">
        <v>12</v>
      </c>
      <c r="M297" s="17">
        <v>13</v>
      </c>
      <c r="N297" s="17">
        <v>14</v>
      </c>
      <c r="O297" s="65"/>
    </row>
    <row r="298" spans="1:14" s="107" customFormat="1" ht="12.75">
      <c r="A298" s="103" t="s">
        <v>43</v>
      </c>
      <c r="B298" s="104">
        <v>100</v>
      </c>
      <c r="C298" s="104"/>
      <c r="D298" s="104"/>
      <c r="E298" s="104"/>
      <c r="F298" s="104" t="s">
        <v>10</v>
      </c>
      <c r="G298" s="105"/>
      <c r="H298" s="106">
        <f>H300+H304+H341</f>
        <v>63859916.53</v>
      </c>
      <c r="I298" s="106">
        <f>I304</f>
        <v>49432260.64</v>
      </c>
      <c r="J298" s="106">
        <f>J341</f>
        <v>902129.53</v>
      </c>
      <c r="K298" s="106">
        <f>K342</f>
        <v>0</v>
      </c>
      <c r="L298" s="106">
        <f>L304</f>
        <v>0</v>
      </c>
      <c r="M298" s="106">
        <f>M300+M304+M340+M351</f>
        <v>13525526.36</v>
      </c>
      <c r="N298" s="106">
        <f>N304+N351</f>
        <v>0</v>
      </c>
    </row>
    <row r="299" spans="1:14" s="107" customFormat="1" ht="12.75">
      <c r="A299" s="108" t="s">
        <v>3</v>
      </c>
      <c r="B299" s="109"/>
      <c r="C299" s="109"/>
      <c r="D299" s="109"/>
      <c r="E299" s="109"/>
      <c r="F299" s="109"/>
      <c r="G299" s="110"/>
      <c r="H299" s="111"/>
      <c r="I299" s="111"/>
      <c r="J299" s="111"/>
      <c r="K299" s="112"/>
      <c r="L299" s="112"/>
      <c r="M299" s="113"/>
      <c r="N299" s="112"/>
    </row>
    <row r="300" spans="1:14" s="121" customFormat="1" ht="17.25" customHeight="1">
      <c r="A300" s="114" t="s">
        <v>32</v>
      </c>
      <c r="B300" s="115">
        <v>110</v>
      </c>
      <c r="C300" s="115">
        <v>120</v>
      </c>
      <c r="D300" s="116" t="s">
        <v>521</v>
      </c>
      <c r="E300" s="115"/>
      <c r="F300" s="115">
        <v>120</v>
      </c>
      <c r="G300" s="117" t="s">
        <v>363</v>
      </c>
      <c r="H300" s="118">
        <f>M300</f>
        <v>750526.36</v>
      </c>
      <c r="I300" s="115" t="s">
        <v>74</v>
      </c>
      <c r="J300" s="115" t="s">
        <v>74</v>
      </c>
      <c r="K300" s="119" t="s">
        <v>10</v>
      </c>
      <c r="L300" s="119" t="s">
        <v>10</v>
      </c>
      <c r="M300" s="120">
        <f>M302+M303</f>
        <v>750526.36</v>
      </c>
      <c r="N300" s="119" t="s">
        <v>10</v>
      </c>
    </row>
    <row r="301" spans="1:14" s="121" customFormat="1" ht="12.75">
      <c r="A301" s="114" t="s">
        <v>364</v>
      </c>
      <c r="B301" s="115"/>
      <c r="C301" s="115"/>
      <c r="D301" s="116"/>
      <c r="E301" s="115"/>
      <c r="F301" s="115"/>
      <c r="G301" s="122"/>
      <c r="H301" s="118"/>
      <c r="I301" s="122"/>
      <c r="J301" s="115"/>
      <c r="K301" s="119"/>
      <c r="L301" s="123"/>
      <c r="M301" s="118"/>
      <c r="N301" s="123"/>
    </row>
    <row r="302" spans="1:14" s="121" customFormat="1" ht="14.25" customHeight="1">
      <c r="A302" s="114" t="s">
        <v>365</v>
      </c>
      <c r="B302" s="115"/>
      <c r="C302" s="115">
        <v>121</v>
      </c>
      <c r="D302" s="116" t="s">
        <v>521</v>
      </c>
      <c r="E302" s="115"/>
      <c r="F302" s="115">
        <v>121</v>
      </c>
      <c r="G302" s="117" t="s">
        <v>363</v>
      </c>
      <c r="H302" s="118">
        <f>SUM(I302:M302)</f>
        <v>700526.36</v>
      </c>
      <c r="I302" s="122"/>
      <c r="J302" s="115"/>
      <c r="K302" s="119"/>
      <c r="L302" s="123"/>
      <c r="M302" s="118">
        <v>700526.36</v>
      </c>
      <c r="N302" s="123"/>
    </row>
    <row r="303" spans="1:14" s="121" customFormat="1" ht="21" customHeight="1">
      <c r="A303" s="114" t="s">
        <v>366</v>
      </c>
      <c r="B303" s="115"/>
      <c r="C303" s="115">
        <v>124</v>
      </c>
      <c r="D303" s="116" t="s">
        <v>521</v>
      </c>
      <c r="E303" s="115"/>
      <c r="F303" s="115">
        <v>124</v>
      </c>
      <c r="G303" s="117" t="s">
        <v>363</v>
      </c>
      <c r="H303" s="118">
        <f>SUM(I303:M303)</f>
        <v>50000</v>
      </c>
      <c r="I303" s="122"/>
      <c r="J303" s="115"/>
      <c r="K303" s="119"/>
      <c r="L303" s="123"/>
      <c r="M303" s="118">
        <v>50000</v>
      </c>
      <c r="N303" s="123"/>
    </row>
    <row r="304" spans="1:14" s="121" customFormat="1" ht="23.25" customHeight="1">
      <c r="A304" s="114" t="s">
        <v>367</v>
      </c>
      <c r="B304" s="115">
        <v>120</v>
      </c>
      <c r="C304" s="115">
        <v>130</v>
      </c>
      <c r="D304" s="116" t="s">
        <v>521</v>
      </c>
      <c r="E304" s="115"/>
      <c r="F304" s="115">
        <v>130</v>
      </c>
      <c r="G304" s="122"/>
      <c r="H304" s="118">
        <f>I304+L304+M304+N304</f>
        <v>62207260.64</v>
      </c>
      <c r="I304" s="118">
        <f>SUM(I305:I330)</f>
        <v>49432260.64</v>
      </c>
      <c r="J304" s="115" t="s">
        <v>74</v>
      </c>
      <c r="K304" s="115" t="s">
        <v>74</v>
      </c>
      <c r="L304" s="118">
        <f>L305+L307+L309+L312+L314+L316+L317+L318+L319+L320+L321+L322+L323+L324+L326+L328+L329+L330</f>
        <v>0</v>
      </c>
      <c r="M304" s="118">
        <f>M305+M307+M309+M312+M314+M316+M317+M318+M319+M320+M321+M322+M323+M324+M326+M328+M329+M330+M308+M331+M332</f>
        <v>12775000</v>
      </c>
      <c r="N304" s="118">
        <f>N305+N307+N309+N312+N314+N316+N317+N318+N319+N320+N321+N322+N323</f>
        <v>0</v>
      </c>
    </row>
    <row r="305" spans="1:14" s="107" customFormat="1" ht="27.75" customHeight="1">
      <c r="A305" s="124" t="s">
        <v>342</v>
      </c>
      <c r="B305" s="489"/>
      <c r="C305" s="489">
        <v>131</v>
      </c>
      <c r="D305" s="489">
        <v>800000000</v>
      </c>
      <c r="E305" s="489"/>
      <c r="F305" s="489">
        <v>131</v>
      </c>
      <c r="G305" s="490" t="s">
        <v>525</v>
      </c>
      <c r="H305" s="485">
        <f>I305+J305+K305+L305+M305</f>
        <v>10758335.66</v>
      </c>
      <c r="I305" s="486">
        <v>10758335.66</v>
      </c>
      <c r="J305" s="125">
        <v>0</v>
      </c>
      <c r="K305" s="112"/>
      <c r="L305" s="111"/>
      <c r="M305" s="125">
        <v>0</v>
      </c>
      <c r="N305" s="125"/>
    </row>
    <row r="306" spans="1:14" s="107" customFormat="1" ht="12" customHeight="1">
      <c r="A306" s="124" t="s">
        <v>356</v>
      </c>
      <c r="B306" s="489"/>
      <c r="C306" s="489">
        <v>131</v>
      </c>
      <c r="D306" s="489">
        <v>800000000</v>
      </c>
      <c r="E306" s="489"/>
      <c r="F306" s="489">
        <v>131</v>
      </c>
      <c r="G306" s="493" t="s">
        <v>524</v>
      </c>
      <c r="H306" s="485">
        <f>I306+J306+K306+L306+M306</f>
        <v>983705.2</v>
      </c>
      <c r="I306" s="486">
        <v>983705.2</v>
      </c>
      <c r="J306" s="125">
        <v>0</v>
      </c>
      <c r="K306" s="112"/>
      <c r="L306" s="111"/>
      <c r="M306" s="125">
        <v>0</v>
      </c>
      <c r="N306" s="125"/>
    </row>
    <row r="307" spans="1:14" s="107" customFormat="1" ht="12" customHeight="1">
      <c r="A307" s="114" t="s">
        <v>343</v>
      </c>
      <c r="B307" s="489"/>
      <c r="C307" s="489">
        <v>131</v>
      </c>
      <c r="D307" s="489">
        <v>800000000</v>
      </c>
      <c r="E307" s="489"/>
      <c r="F307" s="489">
        <v>131</v>
      </c>
      <c r="G307" s="493" t="s">
        <v>524</v>
      </c>
      <c r="H307" s="485">
        <f>I307+J307+K307+L307+M307</f>
        <v>1540928.86</v>
      </c>
      <c r="I307" s="486">
        <v>1540928.86</v>
      </c>
      <c r="J307" s="125">
        <v>0</v>
      </c>
      <c r="K307" s="112"/>
      <c r="L307" s="111"/>
      <c r="M307" s="125">
        <v>0</v>
      </c>
      <c r="N307" s="125"/>
    </row>
    <row r="308" spans="1:14" s="121" customFormat="1" ht="12" customHeight="1">
      <c r="A308" s="114" t="s">
        <v>343</v>
      </c>
      <c r="B308" s="115"/>
      <c r="C308" s="115">
        <v>131</v>
      </c>
      <c r="D308" s="116" t="s">
        <v>521</v>
      </c>
      <c r="E308" s="115"/>
      <c r="F308" s="115">
        <v>131</v>
      </c>
      <c r="G308" s="117" t="s">
        <v>363</v>
      </c>
      <c r="H308" s="118">
        <f aca="true" t="shared" si="18" ref="H308:H328">I308+J308+K308+L308+M308</f>
        <v>2710000</v>
      </c>
      <c r="I308" s="118">
        <v>0</v>
      </c>
      <c r="J308" s="118">
        <v>0</v>
      </c>
      <c r="K308" s="119"/>
      <c r="L308" s="123"/>
      <c r="M308" s="159">
        <v>2710000</v>
      </c>
      <c r="N308" s="118"/>
    </row>
    <row r="309" spans="1:14" s="107" customFormat="1" ht="26.25" customHeight="1">
      <c r="A309" s="108" t="s">
        <v>344</v>
      </c>
      <c r="B309" s="109"/>
      <c r="C309" s="109">
        <v>131</v>
      </c>
      <c r="D309" s="115">
        <v>800000000</v>
      </c>
      <c r="E309" s="109"/>
      <c r="F309" s="109">
        <v>131</v>
      </c>
      <c r="G309" s="102" t="s">
        <v>526</v>
      </c>
      <c r="H309" s="125">
        <f t="shared" si="18"/>
        <v>11457505.6</v>
      </c>
      <c r="I309" s="125">
        <f>292941+8670581.7+2493982.9</f>
        <v>11457505.6</v>
      </c>
      <c r="J309" s="125"/>
      <c r="K309" s="112"/>
      <c r="L309" s="111"/>
      <c r="M309" s="125"/>
      <c r="N309" s="125"/>
    </row>
    <row r="310" spans="1:14" s="107" customFormat="1" ht="26.25" customHeight="1">
      <c r="A310" s="108" t="s">
        <v>344</v>
      </c>
      <c r="B310" s="109"/>
      <c r="C310" s="109">
        <v>131</v>
      </c>
      <c r="D310" s="115">
        <v>800000000</v>
      </c>
      <c r="E310" s="109"/>
      <c r="F310" s="109">
        <v>131</v>
      </c>
      <c r="G310" s="102" t="s">
        <v>527</v>
      </c>
      <c r="H310" s="125">
        <f t="shared" si="18"/>
        <v>1712009.64</v>
      </c>
      <c r="I310" s="125">
        <f>1712009.64</f>
        <v>1712009.64</v>
      </c>
      <c r="J310" s="125"/>
      <c r="K310" s="112"/>
      <c r="L310" s="111"/>
      <c r="M310" s="125"/>
      <c r="N310" s="125"/>
    </row>
    <row r="311" spans="1:14" s="107" customFormat="1" ht="26.25" customHeight="1" hidden="1">
      <c r="A311" s="518" t="s">
        <v>344</v>
      </c>
      <c r="B311" s="501"/>
      <c r="C311" s="501">
        <v>131</v>
      </c>
      <c r="D311" s="489">
        <v>800000000</v>
      </c>
      <c r="E311" s="501"/>
      <c r="F311" s="501">
        <v>131</v>
      </c>
      <c r="G311" s="490" t="s">
        <v>526</v>
      </c>
      <c r="H311" s="485">
        <f t="shared" si="18"/>
        <v>0</v>
      </c>
      <c r="I311" s="486"/>
      <c r="J311" s="125"/>
      <c r="K311" s="112"/>
      <c r="L311" s="111"/>
      <c r="M311" s="125"/>
      <c r="N311" s="125"/>
    </row>
    <row r="312" spans="1:14" s="107" customFormat="1" ht="26.25" customHeight="1">
      <c r="A312" s="108" t="s">
        <v>345</v>
      </c>
      <c r="B312" s="109"/>
      <c r="C312" s="109">
        <v>131</v>
      </c>
      <c r="D312" s="115">
        <v>800000000</v>
      </c>
      <c r="E312" s="109"/>
      <c r="F312" s="109">
        <v>131</v>
      </c>
      <c r="G312" s="102" t="s">
        <v>526</v>
      </c>
      <c r="H312" s="125">
        <f t="shared" si="18"/>
        <v>11162689.2</v>
      </c>
      <c r="I312" s="125">
        <f>360180+10802509.2</f>
        <v>11162689.2</v>
      </c>
      <c r="J312" s="125"/>
      <c r="K312" s="112"/>
      <c r="L312" s="111"/>
      <c r="M312" s="125"/>
      <c r="N312" s="125"/>
    </row>
    <row r="313" spans="1:14" s="107" customFormat="1" ht="27.75" customHeight="1">
      <c r="A313" s="108" t="s">
        <v>345</v>
      </c>
      <c r="B313" s="109"/>
      <c r="C313" s="109">
        <v>131</v>
      </c>
      <c r="D313" s="115">
        <v>800000000</v>
      </c>
      <c r="E313" s="109"/>
      <c r="F313" s="109">
        <v>131</v>
      </c>
      <c r="G313" s="102" t="s">
        <v>527</v>
      </c>
      <c r="H313" s="125">
        <f t="shared" si="18"/>
        <v>1644933.36</v>
      </c>
      <c r="I313" s="125">
        <f>1644933.36</f>
        <v>1644933.36</v>
      </c>
      <c r="J313" s="125"/>
      <c r="K313" s="112"/>
      <c r="L313" s="111"/>
      <c r="M313" s="125"/>
      <c r="N313" s="125"/>
    </row>
    <row r="314" spans="1:14" s="107" customFormat="1" ht="26.25" customHeight="1">
      <c r="A314" s="108" t="s">
        <v>346</v>
      </c>
      <c r="B314" s="109"/>
      <c r="C314" s="109">
        <v>131</v>
      </c>
      <c r="D314" s="115">
        <v>800000000</v>
      </c>
      <c r="E314" s="109"/>
      <c r="F314" s="109">
        <v>131</v>
      </c>
      <c r="G314" s="102" t="s">
        <v>526</v>
      </c>
      <c r="H314" s="125">
        <f t="shared" si="18"/>
        <v>3986028.2</v>
      </c>
      <c r="I314" s="125">
        <f>122248+3863780.2</f>
        <v>3986028.2</v>
      </c>
      <c r="J314" s="125"/>
      <c r="K314" s="112"/>
      <c r="L314" s="111"/>
      <c r="M314" s="125"/>
      <c r="N314" s="125"/>
    </row>
    <row r="315" spans="1:14" s="107" customFormat="1" ht="26.25" customHeight="1">
      <c r="A315" s="108" t="s">
        <v>346</v>
      </c>
      <c r="B315" s="109"/>
      <c r="C315" s="109">
        <v>131</v>
      </c>
      <c r="D315" s="115">
        <v>800000000</v>
      </c>
      <c r="E315" s="109"/>
      <c r="F315" s="109">
        <v>131</v>
      </c>
      <c r="G315" s="102" t="s">
        <v>527</v>
      </c>
      <c r="H315" s="125">
        <f t="shared" si="18"/>
        <v>1031767.92</v>
      </c>
      <c r="I315" s="125">
        <f>555423.64+476344.28</f>
        <v>1031767.92</v>
      </c>
      <c r="J315" s="125"/>
      <c r="K315" s="112"/>
      <c r="L315" s="111"/>
      <c r="M315" s="125"/>
      <c r="N315" s="125"/>
    </row>
    <row r="316" spans="1:14" s="107" customFormat="1" ht="12" customHeight="1" hidden="1">
      <c r="A316" s="108" t="s">
        <v>347</v>
      </c>
      <c r="B316" s="501"/>
      <c r="C316" s="501">
        <v>131</v>
      </c>
      <c r="D316" s="489">
        <v>800000000</v>
      </c>
      <c r="E316" s="501"/>
      <c r="F316" s="501">
        <v>131</v>
      </c>
      <c r="G316" s="493" t="s">
        <v>527</v>
      </c>
      <c r="H316" s="485">
        <f t="shared" si="18"/>
        <v>0</v>
      </c>
      <c r="I316" s="486"/>
      <c r="J316" s="125"/>
      <c r="K316" s="112"/>
      <c r="L316" s="111"/>
      <c r="M316" s="125"/>
      <c r="N316" s="125"/>
    </row>
    <row r="317" spans="1:14" s="107" customFormat="1" ht="27.75" customHeight="1">
      <c r="A317" s="126" t="s">
        <v>517</v>
      </c>
      <c r="B317" s="109"/>
      <c r="C317" s="109">
        <v>131</v>
      </c>
      <c r="D317" s="115">
        <v>800000000</v>
      </c>
      <c r="E317" s="109"/>
      <c r="F317" s="109">
        <v>131</v>
      </c>
      <c r="G317" s="110"/>
      <c r="H317" s="125">
        <f t="shared" si="18"/>
        <v>0</v>
      </c>
      <c r="I317" s="125">
        <v>0</v>
      </c>
      <c r="J317" s="125"/>
      <c r="K317" s="112"/>
      <c r="L317" s="111"/>
      <c r="M317" s="125"/>
      <c r="N317" s="125"/>
    </row>
    <row r="318" spans="1:14" s="107" customFormat="1" ht="44.25" customHeight="1">
      <c r="A318" s="108" t="s">
        <v>348</v>
      </c>
      <c r="B318" s="109"/>
      <c r="C318" s="109">
        <v>131</v>
      </c>
      <c r="D318" s="115">
        <v>800000000</v>
      </c>
      <c r="E318" s="109"/>
      <c r="F318" s="109">
        <v>131</v>
      </c>
      <c r="G318" s="110"/>
      <c r="H318" s="125">
        <f t="shared" si="18"/>
        <v>0</v>
      </c>
      <c r="I318" s="125">
        <v>0</v>
      </c>
      <c r="J318" s="125"/>
      <c r="K318" s="112"/>
      <c r="L318" s="111"/>
      <c r="M318" s="125"/>
      <c r="N318" s="125"/>
    </row>
    <row r="319" spans="1:14" s="107" customFormat="1" ht="22.5" customHeight="1">
      <c r="A319" s="114" t="s">
        <v>349</v>
      </c>
      <c r="B319" s="115"/>
      <c r="C319" s="115">
        <v>131</v>
      </c>
      <c r="D319" s="115">
        <v>800000000</v>
      </c>
      <c r="E319" s="115"/>
      <c r="F319" s="115">
        <v>131</v>
      </c>
      <c r="G319" s="122"/>
      <c r="H319" s="118">
        <f t="shared" si="18"/>
        <v>0</v>
      </c>
      <c r="I319" s="125">
        <v>0</v>
      </c>
      <c r="J319" s="125"/>
      <c r="K319" s="112"/>
      <c r="L319" s="111"/>
      <c r="M319" s="125"/>
      <c r="N319" s="125"/>
    </row>
    <row r="320" spans="1:14" s="107" customFormat="1" ht="31.5" customHeight="1">
      <c r="A320" s="127" t="s">
        <v>350</v>
      </c>
      <c r="B320" s="115"/>
      <c r="C320" s="115">
        <v>131</v>
      </c>
      <c r="D320" s="115">
        <v>800000000</v>
      </c>
      <c r="E320" s="115"/>
      <c r="F320" s="115">
        <v>131</v>
      </c>
      <c r="G320" s="122"/>
      <c r="H320" s="118">
        <f t="shared" si="18"/>
        <v>0</v>
      </c>
      <c r="I320" s="125">
        <v>0</v>
      </c>
      <c r="J320" s="125"/>
      <c r="K320" s="112"/>
      <c r="L320" s="111"/>
      <c r="M320" s="125"/>
      <c r="N320" s="125"/>
    </row>
    <row r="321" spans="1:14" s="107" customFormat="1" ht="43.5" customHeight="1">
      <c r="A321" s="114" t="s">
        <v>351</v>
      </c>
      <c r="B321" s="115"/>
      <c r="C321" s="115">
        <v>131</v>
      </c>
      <c r="D321" s="115">
        <v>800000000</v>
      </c>
      <c r="E321" s="115"/>
      <c r="F321" s="115">
        <v>131</v>
      </c>
      <c r="G321" s="122"/>
      <c r="H321" s="118">
        <f t="shared" si="18"/>
        <v>0</v>
      </c>
      <c r="I321" s="125">
        <v>0</v>
      </c>
      <c r="J321" s="125"/>
      <c r="K321" s="112"/>
      <c r="L321" s="111"/>
      <c r="M321" s="125"/>
      <c r="N321" s="125"/>
    </row>
    <row r="322" spans="1:14" s="107" customFormat="1" ht="33" customHeight="1">
      <c r="A322" s="114" t="s">
        <v>352</v>
      </c>
      <c r="B322" s="115"/>
      <c r="C322" s="115">
        <v>131</v>
      </c>
      <c r="D322" s="115">
        <v>800000000</v>
      </c>
      <c r="E322" s="115"/>
      <c r="F322" s="115">
        <v>131</v>
      </c>
      <c r="G322" s="122"/>
      <c r="H322" s="118">
        <f t="shared" si="18"/>
        <v>0</v>
      </c>
      <c r="I322" s="125">
        <v>0</v>
      </c>
      <c r="J322" s="125"/>
      <c r="K322" s="112"/>
      <c r="L322" s="111"/>
      <c r="M322" s="125"/>
      <c r="N322" s="125"/>
    </row>
    <row r="323" spans="1:14" s="107" customFormat="1" ht="25.5" customHeight="1">
      <c r="A323" s="114" t="s">
        <v>353</v>
      </c>
      <c r="B323" s="115"/>
      <c r="C323" s="115">
        <v>131</v>
      </c>
      <c r="D323" s="115">
        <v>800000000</v>
      </c>
      <c r="E323" s="115"/>
      <c r="F323" s="115">
        <v>131</v>
      </c>
      <c r="G323" s="122"/>
      <c r="H323" s="118">
        <f t="shared" si="18"/>
        <v>0</v>
      </c>
      <c r="I323" s="125">
        <v>0</v>
      </c>
      <c r="J323" s="125"/>
      <c r="K323" s="112"/>
      <c r="L323" s="111"/>
      <c r="M323" s="125"/>
      <c r="N323" s="125"/>
    </row>
    <row r="324" spans="1:14" s="107" customFormat="1" ht="25.5">
      <c r="A324" s="114" t="s">
        <v>51</v>
      </c>
      <c r="B324" s="115"/>
      <c r="C324" s="115">
        <v>131</v>
      </c>
      <c r="D324" s="115">
        <v>800000000</v>
      </c>
      <c r="E324" s="115"/>
      <c r="F324" s="115">
        <v>131</v>
      </c>
      <c r="G324" s="102" t="s">
        <v>527</v>
      </c>
      <c r="H324" s="118">
        <f t="shared" si="18"/>
        <v>1112470</v>
      </c>
      <c r="I324" s="125">
        <f>805176+307294</f>
        <v>1112470</v>
      </c>
      <c r="J324" s="125"/>
      <c r="K324" s="112"/>
      <c r="L324" s="111"/>
      <c r="M324" s="125"/>
      <c r="N324" s="125"/>
    </row>
    <row r="325" spans="1:14" s="107" customFormat="1" ht="25.5" hidden="1">
      <c r="A325" s="114" t="s">
        <v>51</v>
      </c>
      <c r="B325" s="487"/>
      <c r="C325" s="487">
        <v>131</v>
      </c>
      <c r="D325" s="489">
        <v>800000000</v>
      </c>
      <c r="E325" s="487"/>
      <c r="F325" s="487">
        <v>131</v>
      </c>
      <c r="G325" s="494" t="s">
        <v>527</v>
      </c>
      <c r="H325" s="491">
        <f t="shared" si="18"/>
        <v>0</v>
      </c>
      <c r="I325" s="486"/>
      <c r="J325" s="125"/>
      <c r="K325" s="112"/>
      <c r="L325" s="111"/>
      <c r="M325" s="125"/>
      <c r="N325" s="125"/>
    </row>
    <row r="326" spans="1:14" s="107" customFormat="1" ht="12.75">
      <c r="A326" s="114" t="s">
        <v>52</v>
      </c>
      <c r="B326" s="115"/>
      <c r="C326" s="115">
        <v>131</v>
      </c>
      <c r="D326" s="115">
        <v>800000000</v>
      </c>
      <c r="E326" s="115"/>
      <c r="F326" s="115">
        <v>131</v>
      </c>
      <c r="G326" s="102" t="s">
        <v>527</v>
      </c>
      <c r="H326" s="118">
        <f t="shared" si="18"/>
        <v>4041887</v>
      </c>
      <c r="I326" s="125">
        <f>2959713+1082174</f>
        <v>4041887</v>
      </c>
      <c r="J326" s="125"/>
      <c r="K326" s="112"/>
      <c r="L326" s="111"/>
      <c r="M326" s="125"/>
      <c r="N326" s="125"/>
    </row>
    <row r="327" spans="1:14" s="107" customFormat="1" ht="15" hidden="1">
      <c r="A327" s="114" t="s">
        <v>52</v>
      </c>
      <c r="B327" s="487"/>
      <c r="C327" s="487">
        <v>131</v>
      </c>
      <c r="D327" s="489">
        <v>800000000</v>
      </c>
      <c r="E327" s="487"/>
      <c r="F327" s="487">
        <v>131</v>
      </c>
      <c r="G327" s="494" t="s">
        <v>527</v>
      </c>
      <c r="H327" s="491">
        <f t="shared" si="18"/>
        <v>0</v>
      </c>
      <c r="I327" s="486"/>
      <c r="J327" s="125"/>
      <c r="K327" s="112"/>
      <c r="L327" s="111"/>
      <c r="M327" s="125"/>
      <c r="N327" s="125"/>
    </row>
    <row r="328" spans="1:14" s="128" customFormat="1" ht="12.75">
      <c r="A328" s="114" t="s">
        <v>46</v>
      </c>
      <c r="B328" s="115"/>
      <c r="C328" s="115">
        <v>131</v>
      </c>
      <c r="D328" s="116" t="s">
        <v>521</v>
      </c>
      <c r="E328" s="115"/>
      <c r="F328" s="115">
        <v>131</v>
      </c>
      <c r="G328" s="117" t="s">
        <v>363</v>
      </c>
      <c r="H328" s="118">
        <f t="shared" si="18"/>
        <v>7808000</v>
      </c>
      <c r="I328" s="118"/>
      <c r="J328" s="118"/>
      <c r="K328" s="119"/>
      <c r="L328" s="123"/>
      <c r="M328" s="118">
        <f>5665000+2143000</f>
        <v>7808000</v>
      </c>
      <c r="N328" s="118"/>
    </row>
    <row r="329" spans="1:14" s="128" customFormat="1" ht="12.75">
      <c r="A329" s="114" t="s">
        <v>48</v>
      </c>
      <c r="B329" s="115"/>
      <c r="C329" s="115">
        <v>131</v>
      </c>
      <c r="D329" s="116" t="s">
        <v>521</v>
      </c>
      <c r="E329" s="115"/>
      <c r="F329" s="115">
        <v>131</v>
      </c>
      <c r="G329" s="117" t="s">
        <v>363</v>
      </c>
      <c r="H329" s="118">
        <f>I329+J329+K329+L329+M329</f>
        <v>1890000</v>
      </c>
      <c r="I329" s="118"/>
      <c r="J329" s="118"/>
      <c r="K329" s="119"/>
      <c r="L329" s="123"/>
      <c r="M329" s="159">
        <v>1890000</v>
      </c>
      <c r="N329" s="118"/>
    </row>
    <row r="330" spans="1:14" s="128" customFormat="1" ht="15.75" customHeight="1">
      <c r="A330" s="114" t="s">
        <v>368</v>
      </c>
      <c r="B330" s="115"/>
      <c r="C330" s="115">
        <v>134</v>
      </c>
      <c r="D330" s="116" t="s">
        <v>521</v>
      </c>
      <c r="E330" s="115"/>
      <c r="F330" s="115">
        <v>134</v>
      </c>
      <c r="G330" s="117" t="s">
        <v>363</v>
      </c>
      <c r="H330" s="118">
        <f>I330+J330+K330+L330+M330</f>
        <v>0</v>
      </c>
      <c r="I330" s="118"/>
      <c r="J330" s="118"/>
      <c r="K330" s="119"/>
      <c r="L330" s="123"/>
      <c r="M330" s="118"/>
      <c r="N330" s="118"/>
    </row>
    <row r="331" spans="1:14" s="128" customFormat="1" ht="21" customHeight="1">
      <c r="A331" s="114" t="s">
        <v>47</v>
      </c>
      <c r="B331" s="115"/>
      <c r="C331" s="115">
        <v>135</v>
      </c>
      <c r="D331" s="116" t="s">
        <v>521</v>
      </c>
      <c r="E331" s="115"/>
      <c r="F331" s="115">
        <v>135</v>
      </c>
      <c r="G331" s="117" t="s">
        <v>363</v>
      </c>
      <c r="H331" s="118">
        <f>I331+J331+K331+L331+M331</f>
        <v>367000</v>
      </c>
      <c r="I331" s="118"/>
      <c r="J331" s="118"/>
      <c r="K331" s="119"/>
      <c r="L331" s="123"/>
      <c r="M331" s="118">
        <f>360000+7000</f>
        <v>367000</v>
      </c>
      <c r="N331" s="118"/>
    </row>
    <row r="332" spans="1:14" s="128" customFormat="1" ht="21" customHeight="1" hidden="1">
      <c r="A332" s="114" t="s">
        <v>47</v>
      </c>
      <c r="B332" s="487"/>
      <c r="C332" s="489">
        <v>135</v>
      </c>
      <c r="D332" s="488" t="s">
        <v>521</v>
      </c>
      <c r="E332" s="489"/>
      <c r="F332" s="489">
        <v>135</v>
      </c>
      <c r="G332" s="492" t="s">
        <v>363</v>
      </c>
      <c r="H332" s="491">
        <f>I332+J332+K332+L332+M332</f>
        <v>0</v>
      </c>
      <c r="I332" s="491">
        <v>0</v>
      </c>
      <c r="J332" s="491">
        <v>0</v>
      </c>
      <c r="K332" s="507">
        <v>0</v>
      </c>
      <c r="L332" s="508">
        <v>0</v>
      </c>
      <c r="M332" s="495"/>
      <c r="N332" s="118"/>
    </row>
    <row r="333" spans="1:14" s="134" customFormat="1" ht="21.75" customHeight="1">
      <c r="A333" s="129" t="s">
        <v>432</v>
      </c>
      <c r="B333" s="130">
        <v>130</v>
      </c>
      <c r="C333" s="130">
        <v>140</v>
      </c>
      <c r="D333" s="116" t="s">
        <v>521</v>
      </c>
      <c r="E333" s="130"/>
      <c r="F333" s="130">
        <v>140</v>
      </c>
      <c r="G333" s="131" t="s">
        <v>363</v>
      </c>
      <c r="H333" s="132">
        <f>M333</f>
        <v>0</v>
      </c>
      <c r="I333" s="130" t="s">
        <v>74</v>
      </c>
      <c r="J333" s="130" t="s">
        <v>74</v>
      </c>
      <c r="K333" s="130" t="s">
        <v>74</v>
      </c>
      <c r="L333" s="130" t="s">
        <v>74</v>
      </c>
      <c r="M333" s="133">
        <f>M335+M336+M337+M338+M339</f>
        <v>0</v>
      </c>
      <c r="N333" s="130" t="s">
        <v>74</v>
      </c>
    </row>
    <row r="334" spans="1:14" s="128" customFormat="1" ht="12.75">
      <c r="A334" s="114" t="s">
        <v>364</v>
      </c>
      <c r="B334" s="115"/>
      <c r="C334" s="115"/>
      <c r="D334" s="116"/>
      <c r="E334" s="115"/>
      <c r="F334" s="115"/>
      <c r="G334" s="122"/>
      <c r="H334" s="118"/>
      <c r="I334" s="122"/>
      <c r="J334" s="115"/>
      <c r="K334" s="119"/>
      <c r="L334" s="123"/>
      <c r="M334" s="118"/>
      <c r="N334" s="123"/>
    </row>
    <row r="335" spans="1:14" s="128" customFormat="1" ht="38.25">
      <c r="A335" s="114" t="s">
        <v>369</v>
      </c>
      <c r="B335" s="115"/>
      <c r="C335" s="115">
        <v>141</v>
      </c>
      <c r="D335" s="116" t="s">
        <v>521</v>
      </c>
      <c r="E335" s="115"/>
      <c r="F335" s="115">
        <v>141</v>
      </c>
      <c r="G335" s="117" t="s">
        <v>363</v>
      </c>
      <c r="H335" s="118">
        <f>I335+J335+K335+L335+M335</f>
        <v>0</v>
      </c>
      <c r="I335" s="122"/>
      <c r="J335" s="115"/>
      <c r="K335" s="119"/>
      <c r="L335" s="123"/>
      <c r="M335" s="118"/>
      <c r="N335" s="123"/>
    </row>
    <row r="336" spans="1:14" s="128" customFormat="1" ht="25.5">
      <c r="A336" s="114" t="s">
        <v>370</v>
      </c>
      <c r="B336" s="115"/>
      <c r="C336" s="115">
        <v>142</v>
      </c>
      <c r="D336" s="116" t="s">
        <v>521</v>
      </c>
      <c r="E336" s="115"/>
      <c r="F336" s="115">
        <v>142</v>
      </c>
      <c r="G336" s="117" t="s">
        <v>363</v>
      </c>
      <c r="H336" s="118">
        <f>I336+J336+K336+L336+M336</f>
        <v>0</v>
      </c>
      <c r="I336" s="122"/>
      <c r="J336" s="115"/>
      <c r="K336" s="119"/>
      <c r="L336" s="123"/>
      <c r="M336" s="118"/>
      <c r="N336" s="123"/>
    </row>
    <row r="337" spans="1:14" s="128" customFormat="1" ht="15" customHeight="1">
      <c r="A337" s="114" t="s">
        <v>371</v>
      </c>
      <c r="B337" s="115"/>
      <c r="C337" s="115">
        <v>143</v>
      </c>
      <c r="D337" s="116" t="s">
        <v>521</v>
      </c>
      <c r="E337" s="115"/>
      <c r="F337" s="115">
        <v>143</v>
      </c>
      <c r="G337" s="117" t="s">
        <v>363</v>
      </c>
      <c r="H337" s="118">
        <f>I337+J337+K337+L337+M337</f>
        <v>0</v>
      </c>
      <c r="I337" s="122"/>
      <c r="J337" s="115"/>
      <c r="K337" s="119"/>
      <c r="L337" s="123"/>
      <c r="M337" s="118"/>
      <c r="N337" s="123"/>
    </row>
    <row r="338" spans="1:14" s="128" customFormat="1" ht="15" customHeight="1">
      <c r="A338" s="114" t="s">
        <v>372</v>
      </c>
      <c r="B338" s="115"/>
      <c r="C338" s="115">
        <v>144</v>
      </c>
      <c r="D338" s="116" t="s">
        <v>521</v>
      </c>
      <c r="E338" s="115"/>
      <c r="F338" s="115">
        <v>144</v>
      </c>
      <c r="G338" s="117" t="s">
        <v>363</v>
      </c>
      <c r="H338" s="118">
        <f>I338+J338+K338+L338+M338</f>
        <v>0</v>
      </c>
      <c r="I338" s="122"/>
      <c r="J338" s="115"/>
      <c r="K338" s="119"/>
      <c r="L338" s="123"/>
      <c r="M338" s="118"/>
      <c r="N338" s="123"/>
    </row>
    <row r="339" spans="1:14" s="128" customFormat="1" ht="15" customHeight="1">
      <c r="A339" s="114" t="s">
        <v>373</v>
      </c>
      <c r="B339" s="115"/>
      <c r="C339" s="115">
        <v>145</v>
      </c>
      <c r="D339" s="116" t="s">
        <v>521</v>
      </c>
      <c r="E339" s="115"/>
      <c r="F339" s="115">
        <v>145</v>
      </c>
      <c r="G339" s="117" t="s">
        <v>363</v>
      </c>
      <c r="H339" s="118">
        <f>I339+J339+K339+L339+M339</f>
        <v>0</v>
      </c>
      <c r="I339" s="122"/>
      <c r="J339" s="115"/>
      <c r="K339" s="119"/>
      <c r="L339" s="123"/>
      <c r="M339" s="118"/>
      <c r="N339" s="123"/>
    </row>
    <row r="340" spans="1:14" s="107" customFormat="1" ht="40.5" customHeight="1">
      <c r="A340" s="114" t="s">
        <v>49</v>
      </c>
      <c r="B340" s="115">
        <v>140</v>
      </c>
      <c r="C340" s="115"/>
      <c r="D340" s="116" t="s">
        <v>521</v>
      </c>
      <c r="E340" s="115"/>
      <c r="F340" s="115"/>
      <c r="G340" s="122"/>
      <c r="H340" s="118">
        <f>M340</f>
        <v>0</v>
      </c>
      <c r="I340" s="109" t="s">
        <v>74</v>
      </c>
      <c r="J340" s="109" t="s">
        <v>74</v>
      </c>
      <c r="K340" s="109" t="s">
        <v>74</v>
      </c>
      <c r="L340" s="109" t="s">
        <v>74</v>
      </c>
      <c r="M340" s="109"/>
      <c r="N340" s="109" t="s">
        <v>74</v>
      </c>
    </row>
    <row r="341" spans="1:14" s="107" customFormat="1" ht="27.75" customHeight="1">
      <c r="A341" s="114" t="s">
        <v>167</v>
      </c>
      <c r="B341" s="489">
        <v>150</v>
      </c>
      <c r="C341" s="489">
        <v>150</v>
      </c>
      <c r="D341" s="489">
        <v>901000000</v>
      </c>
      <c r="E341" s="489"/>
      <c r="F341" s="489">
        <v>150</v>
      </c>
      <c r="G341" s="500"/>
      <c r="H341" s="491">
        <f aca="true" t="shared" si="19" ref="H341:H349">J341+K341</f>
        <v>902129.53</v>
      </c>
      <c r="I341" s="501" t="s">
        <v>74</v>
      </c>
      <c r="J341" s="517">
        <f>SUM(J342:J349)</f>
        <v>902129.53</v>
      </c>
      <c r="K341" s="109">
        <f>K342</f>
        <v>0</v>
      </c>
      <c r="L341" s="109" t="s">
        <v>74</v>
      </c>
      <c r="M341" s="109" t="s">
        <v>74</v>
      </c>
      <c r="N341" s="109" t="s">
        <v>74</v>
      </c>
    </row>
    <row r="342" spans="1:14" s="107" customFormat="1" ht="21.75" customHeight="1">
      <c r="A342" s="114" t="s">
        <v>828</v>
      </c>
      <c r="B342" s="489"/>
      <c r="C342" s="489">
        <v>152</v>
      </c>
      <c r="D342" s="489">
        <v>901480000</v>
      </c>
      <c r="E342" s="489"/>
      <c r="F342" s="489">
        <v>152</v>
      </c>
      <c r="G342" s="500" t="s">
        <v>526</v>
      </c>
      <c r="H342" s="491">
        <f t="shared" si="19"/>
        <v>364383</v>
      </c>
      <c r="I342" s="501">
        <v>0</v>
      </c>
      <c r="J342" s="486">
        <v>364383</v>
      </c>
      <c r="K342" s="112"/>
      <c r="L342" s="109" t="s">
        <v>74</v>
      </c>
      <c r="M342" s="109" t="s">
        <v>74</v>
      </c>
      <c r="N342" s="109" t="s">
        <v>74</v>
      </c>
    </row>
    <row r="343" spans="1:14" s="107" customFormat="1" ht="21.75" customHeight="1">
      <c r="A343" s="114" t="s">
        <v>236</v>
      </c>
      <c r="B343" s="489"/>
      <c r="C343" s="489">
        <v>152</v>
      </c>
      <c r="D343" s="489">
        <v>901160000</v>
      </c>
      <c r="E343" s="489"/>
      <c r="F343" s="489">
        <v>152</v>
      </c>
      <c r="G343" s="500" t="s">
        <v>526</v>
      </c>
      <c r="H343" s="491">
        <f t="shared" si="19"/>
        <v>127246</v>
      </c>
      <c r="I343" s="501">
        <v>0</v>
      </c>
      <c r="J343" s="486">
        <v>127246</v>
      </c>
      <c r="K343" s="112"/>
      <c r="L343" s="109" t="s">
        <v>74</v>
      </c>
      <c r="M343" s="109" t="s">
        <v>74</v>
      </c>
      <c r="N343" s="109" t="s">
        <v>74</v>
      </c>
    </row>
    <row r="344" spans="1:14" s="107" customFormat="1" ht="21.75" customHeight="1">
      <c r="A344" s="114" t="s">
        <v>829</v>
      </c>
      <c r="B344" s="489"/>
      <c r="C344" s="489">
        <v>152</v>
      </c>
      <c r="D344" s="489">
        <v>901830000</v>
      </c>
      <c r="E344" s="489"/>
      <c r="F344" s="489">
        <v>152</v>
      </c>
      <c r="G344" s="500" t="s">
        <v>526</v>
      </c>
      <c r="H344" s="491">
        <f t="shared" si="19"/>
        <v>66594.53</v>
      </c>
      <c r="I344" s="501">
        <v>0</v>
      </c>
      <c r="J344" s="486">
        <v>66594.53</v>
      </c>
      <c r="K344" s="112"/>
      <c r="L344" s="109"/>
      <c r="M344" s="109"/>
      <c r="N344" s="109"/>
    </row>
    <row r="345" spans="1:14" s="107" customFormat="1" ht="21.75" customHeight="1">
      <c r="A345" s="114" t="s">
        <v>831</v>
      </c>
      <c r="B345" s="489"/>
      <c r="C345" s="489">
        <v>152</v>
      </c>
      <c r="D345" s="489">
        <v>901140000</v>
      </c>
      <c r="E345" s="489"/>
      <c r="F345" s="489">
        <v>152</v>
      </c>
      <c r="G345" s="500" t="s">
        <v>526</v>
      </c>
      <c r="H345" s="491">
        <f t="shared" si="19"/>
        <v>56596</v>
      </c>
      <c r="I345" s="501">
        <v>0</v>
      </c>
      <c r="J345" s="486">
        <v>56596</v>
      </c>
      <c r="K345" s="112"/>
      <c r="L345" s="109"/>
      <c r="M345" s="109"/>
      <c r="N345" s="109"/>
    </row>
    <row r="346" spans="1:14" s="107" customFormat="1" ht="21.75" customHeight="1">
      <c r="A346" s="114" t="s">
        <v>832</v>
      </c>
      <c r="B346" s="489"/>
      <c r="C346" s="489">
        <v>152</v>
      </c>
      <c r="D346" s="489">
        <v>901140000</v>
      </c>
      <c r="E346" s="489"/>
      <c r="F346" s="489">
        <v>152</v>
      </c>
      <c r="G346" s="500" t="s">
        <v>526</v>
      </c>
      <c r="H346" s="491">
        <f t="shared" si="19"/>
        <v>13862</v>
      </c>
      <c r="I346" s="501">
        <v>0</v>
      </c>
      <c r="J346" s="486">
        <v>13862</v>
      </c>
      <c r="K346" s="112"/>
      <c r="L346" s="109" t="s">
        <v>74</v>
      </c>
      <c r="M346" s="109" t="s">
        <v>74</v>
      </c>
      <c r="N346" s="109" t="s">
        <v>74</v>
      </c>
    </row>
    <row r="347" spans="1:14" s="107" customFormat="1" ht="21.75" customHeight="1">
      <c r="A347" s="114" t="s">
        <v>833</v>
      </c>
      <c r="B347" s="489"/>
      <c r="C347" s="489">
        <v>152</v>
      </c>
      <c r="D347" s="489">
        <v>901150000</v>
      </c>
      <c r="E347" s="489"/>
      <c r="F347" s="489">
        <v>152</v>
      </c>
      <c r="G347" s="500" t="s">
        <v>526</v>
      </c>
      <c r="H347" s="491">
        <f t="shared" si="19"/>
        <v>67915</v>
      </c>
      <c r="I347" s="501">
        <v>0</v>
      </c>
      <c r="J347" s="486">
        <v>67915</v>
      </c>
      <c r="K347" s="112"/>
      <c r="L347" s="109" t="s">
        <v>74</v>
      </c>
      <c r="M347" s="109" t="s">
        <v>74</v>
      </c>
      <c r="N347" s="109" t="s">
        <v>74</v>
      </c>
    </row>
    <row r="348" spans="1:14" s="107" customFormat="1" ht="21.75" customHeight="1">
      <c r="A348" s="114" t="s">
        <v>241</v>
      </c>
      <c r="B348" s="489"/>
      <c r="C348" s="489">
        <v>152</v>
      </c>
      <c r="D348" s="502">
        <v>901210000</v>
      </c>
      <c r="E348" s="489"/>
      <c r="F348" s="489">
        <v>152</v>
      </c>
      <c r="G348" s="492" t="s">
        <v>528</v>
      </c>
      <c r="H348" s="491">
        <f t="shared" si="19"/>
        <v>105533</v>
      </c>
      <c r="I348" s="501">
        <v>0</v>
      </c>
      <c r="J348" s="486">
        <v>105533</v>
      </c>
      <c r="K348" s="112"/>
      <c r="L348" s="109" t="s">
        <v>74</v>
      </c>
      <c r="M348" s="109" t="s">
        <v>74</v>
      </c>
      <c r="N348" s="109" t="s">
        <v>74</v>
      </c>
    </row>
    <row r="349" spans="1:14" s="107" customFormat="1" ht="21.75" customHeight="1">
      <c r="A349" s="114" t="s">
        <v>834</v>
      </c>
      <c r="B349" s="489"/>
      <c r="C349" s="489">
        <v>152</v>
      </c>
      <c r="D349" s="489">
        <v>901480000</v>
      </c>
      <c r="E349" s="489"/>
      <c r="F349" s="489">
        <v>152</v>
      </c>
      <c r="G349" s="500" t="s">
        <v>526</v>
      </c>
      <c r="H349" s="491">
        <f t="shared" si="19"/>
        <v>100000</v>
      </c>
      <c r="I349" s="501">
        <v>0</v>
      </c>
      <c r="J349" s="486">
        <v>100000</v>
      </c>
      <c r="K349" s="112"/>
      <c r="L349" s="109" t="s">
        <v>74</v>
      </c>
      <c r="M349" s="109" t="s">
        <v>74</v>
      </c>
      <c r="N349" s="109" t="s">
        <v>74</v>
      </c>
    </row>
    <row r="350" spans="1:14" s="107" customFormat="1" ht="21.75" customHeight="1">
      <c r="A350" s="114" t="s">
        <v>167</v>
      </c>
      <c r="B350" s="115">
        <v>150</v>
      </c>
      <c r="C350" s="115">
        <v>152</v>
      </c>
      <c r="D350" s="115">
        <v>901750000</v>
      </c>
      <c r="E350" s="115"/>
      <c r="F350" s="115">
        <v>152</v>
      </c>
      <c r="G350" s="122" t="s">
        <v>534</v>
      </c>
      <c r="H350" s="118">
        <f>J350+K350</f>
        <v>0</v>
      </c>
      <c r="I350" s="109"/>
      <c r="J350" s="125">
        <v>0</v>
      </c>
      <c r="K350" s="112"/>
      <c r="L350" s="109"/>
      <c r="M350" s="110"/>
      <c r="N350" s="110"/>
    </row>
    <row r="351" spans="1:14" s="128" customFormat="1" ht="21.75" customHeight="1">
      <c r="A351" s="114" t="s">
        <v>210</v>
      </c>
      <c r="B351" s="115">
        <v>160</v>
      </c>
      <c r="C351" s="115">
        <v>180</v>
      </c>
      <c r="D351" s="116" t="s">
        <v>521</v>
      </c>
      <c r="E351" s="115"/>
      <c r="F351" s="115">
        <v>180</v>
      </c>
      <c r="G351" s="117" t="s">
        <v>363</v>
      </c>
      <c r="H351" s="118">
        <f aca="true" t="shared" si="20" ref="H351:H357">M351</f>
        <v>0</v>
      </c>
      <c r="I351" s="115" t="s">
        <v>74</v>
      </c>
      <c r="J351" s="115" t="s">
        <v>74</v>
      </c>
      <c r="K351" s="115" t="s">
        <v>74</v>
      </c>
      <c r="L351" s="115" t="s">
        <v>74</v>
      </c>
      <c r="M351" s="118">
        <f>M352+M353</f>
        <v>0</v>
      </c>
      <c r="N351" s="118">
        <f>N352+N353</f>
        <v>0</v>
      </c>
    </row>
    <row r="352" spans="1:14" s="128" customFormat="1" ht="15" customHeight="1">
      <c r="A352" s="135" t="s">
        <v>133</v>
      </c>
      <c r="B352" s="115"/>
      <c r="C352" s="115">
        <v>189</v>
      </c>
      <c r="D352" s="116" t="s">
        <v>521</v>
      </c>
      <c r="E352" s="115"/>
      <c r="F352" s="115">
        <v>189</v>
      </c>
      <c r="G352" s="117" t="s">
        <v>363</v>
      </c>
      <c r="H352" s="118">
        <f t="shared" si="20"/>
        <v>0</v>
      </c>
      <c r="I352" s="118"/>
      <c r="J352" s="118"/>
      <c r="K352" s="119"/>
      <c r="L352" s="123"/>
      <c r="M352" s="118"/>
      <c r="N352" s="118"/>
    </row>
    <row r="353" spans="1:14" s="128" customFormat="1" ht="15" customHeight="1">
      <c r="A353" s="135" t="s">
        <v>134</v>
      </c>
      <c r="B353" s="115"/>
      <c r="C353" s="115">
        <v>189</v>
      </c>
      <c r="D353" s="116" t="s">
        <v>521</v>
      </c>
      <c r="E353" s="115"/>
      <c r="F353" s="115">
        <v>189</v>
      </c>
      <c r="G353" s="117" t="s">
        <v>363</v>
      </c>
      <c r="H353" s="118">
        <f t="shared" si="20"/>
        <v>0</v>
      </c>
      <c r="I353" s="118"/>
      <c r="J353" s="118"/>
      <c r="K353" s="119"/>
      <c r="L353" s="123"/>
      <c r="M353" s="118"/>
      <c r="N353" s="118"/>
    </row>
    <row r="354" spans="1:14" s="128" customFormat="1" ht="23.25" customHeight="1">
      <c r="A354" s="114" t="s">
        <v>211</v>
      </c>
      <c r="B354" s="115">
        <v>180</v>
      </c>
      <c r="C354" s="115">
        <v>400</v>
      </c>
      <c r="D354" s="116" t="s">
        <v>521</v>
      </c>
      <c r="E354" s="115" t="s">
        <v>74</v>
      </c>
      <c r="F354" s="115">
        <v>400</v>
      </c>
      <c r="G354" s="117" t="s">
        <v>363</v>
      </c>
      <c r="H354" s="118">
        <f t="shared" si="20"/>
        <v>0</v>
      </c>
      <c r="I354" s="115" t="s">
        <v>74</v>
      </c>
      <c r="J354" s="115" t="s">
        <v>74</v>
      </c>
      <c r="K354" s="115" t="s">
        <v>74</v>
      </c>
      <c r="L354" s="115" t="s">
        <v>74</v>
      </c>
      <c r="M354" s="118">
        <f>M355+M356+M357+M359+M358</f>
        <v>0</v>
      </c>
      <c r="N354" s="115" t="s">
        <v>74</v>
      </c>
    </row>
    <row r="355" spans="1:14" s="128" customFormat="1" ht="15" customHeight="1">
      <c r="A355" s="136" t="s">
        <v>374</v>
      </c>
      <c r="B355" s="115"/>
      <c r="C355" s="115">
        <v>410</v>
      </c>
      <c r="D355" s="116" t="s">
        <v>521</v>
      </c>
      <c r="E355" s="115"/>
      <c r="F355" s="115">
        <v>410</v>
      </c>
      <c r="G355" s="117" t="s">
        <v>363</v>
      </c>
      <c r="H355" s="118">
        <f t="shared" si="20"/>
        <v>0</v>
      </c>
      <c r="I355" s="118"/>
      <c r="J355" s="118"/>
      <c r="K355" s="119"/>
      <c r="L355" s="123"/>
      <c r="M355" s="118"/>
      <c r="N355" s="118"/>
    </row>
    <row r="356" spans="1:14" s="128" customFormat="1" ht="15" customHeight="1">
      <c r="A356" s="136" t="s">
        <v>375</v>
      </c>
      <c r="B356" s="115"/>
      <c r="C356" s="115">
        <v>420</v>
      </c>
      <c r="D356" s="116" t="s">
        <v>521</v>
      </c>
      <c r="E356" s="115"/>
      <c r="F356" s="115">
        <v>420</v>
      </c>
      <c r="G356" s="117" t="s">
        <v>363</v>
      </c>
      <c r="H356" s="118">
        <f t="shared" si="20"/>
        <v>0</v>
      </c>
      <c r="I356" s="118"/>
      <c r="J356" s="118"/>
      <c r="K356" s="119"/>
      <c r="L356" s="123"/>
      <c r="M356" s="118"/>
      <c r="N356" s="118"/>
    </row>
    <row r="357" spans="1:14" s="128" customFormat="1" ht="15" customHeight="1">
      <c r="A357" s="136" t="s">
        <v>376</v>
      </c>
      <c r="B357" s="115"/>
      <c r="C357" s="115">
        <v>430</v>
      </c>
      <c r="D357" s="116" t="s">
        <v>521</v>
      </c>
      <c r="E357" s="115"/>
      <c r="F357" s="115">
        <v>430</v>
      </c>
      <c r="G357" s="117" t="s">
        <v>363</v>
      </c>
      <c r="H357" s="118">
        <f t="shared" si="20"/>
        <v>0</v>
      </c>
      <c r="I357" s="118"/>
      <c r="J357" s="118"/>
      <c r="K357" s="119"/>
      <c r="L357" s="123"/>
      <c r="M357" s="118"/>
      <c r="N357" s="118"/>
    </row>
    <row r="358" spans="1:14" s="121" customFormat="1" ht="15" customHeight="1">
      <c r="A358" s="136" t="s">
        <v>425</v>
      </c>
      <c r="B358" s="115"/>
      <c r="C358" s="115">
        <v>440</v>
      </c>
      <c r="D358" s="116" t="s">
        <v>521</v>
      </c>
      <c r="E358" s="115"/>
      <c r="F358" s="115">
        <v>440</v>
      </c>
      <c r="G358" s="117" t="s">
        <v>363</v>
      </c>
      <c r="H358" s="118">
        <f>M358</f>
        <v>0</v>
      </c>
      <c r="I358" s="118"/>
      <c r="J358" s="118"/>
      <c r="K358" s="119"/>
      <c r="L358" s="123"/>
      <c r="M358" s="118"/>
      <c r="N358" s="118"/>
    </row>
    <row r="359" spans="1:14" s="128" customFormat="1" ht="15" customHeight="1">
      <c r="A359" s="136" t="s">
        <v>377</v>
      </c>
      <c r="B359" s="115"/>
      <c r="C359" s="115">
        <v>450</v>
      </c>
      <c r="D359" s="116" t="s">
        <v>521</v>
      </c>
      <c r="E359" s="115"/>
      <c r="F359" s="115">
        <v>450</v>
      </c>
      <c r="G359" s="117" t="s">
        <v>363</v>
      </c>
      <c r="H359" s="118">
        <f>M359</f>
        <v>0</v>
      </c>
      <c r="I359" s="118"/>
      <c r="J359" s="118"/>
      <c r="K359" s="119"/>
      <c r="L359" s="123"/>
      <c r="M359" s="118"/>
      <c r="N359" s="118"/>
    </row>
    <row r="360" spans="1:14" s="8" customFormat="1" ht="11.25" customHeight="1">
      <c r="A360" s="137" t="s">
        <v>44</v>
      </c>
      <c r="B360" s="138">
        <v>200</v>
      </c>
      <c r="C360" s="138"/>
      <c r="D360" s="138"/>
      <c r="E360" s="138"/>
      <c r="F360" s="139"/>
      <c r="G360" s="139"/>
      <c r="H360" s="140">
        <f aca="true" t="shared" si="21" ref="H360:N360">H362+H385+H395+H411+H412+H416</f>
        <v>63859916.529999994</v>
      </c>
      <c r="I360" s="140">
        <f t="shared" si="21"/>
        <v>49432260.64</v>
      </c>
      <c r="J360" s="140">
        <f>J362+J385+J395+J411+J412+J416</f>
        <v>902129.53</v>
      </c>
      <c r="K360" s="140">
        <f t="shared" si="21"/>
        <v>0</v>
      </c>
      <c r="L360" s="140">
        <f t="shared" si="21"/>
        <v>0</v>
      </c>
      <c r="M360" s="140">
        <f>M362+M385+M395+M411+M412+M416</f>
        <v>13525526.359999998</v>
      </c>
      <c r="N360" s="140">
        <f t="shared" si="21"/>
        <v>0</v>
      </c>
    </row>
    <row r="361" spans="1:14" s="8" customFormat="1" ht="13.5" customHeight="1">
      <c r="A361" s="141" t="s">
        <v>4</v>
      </c>
      <c r="B361" s="109"/>
      <c r="C361" s="109"/>
      <c r="D361" s="109"/>
      <c r="E361" s="109"/>
      <c r="F361" s="109"/>
      <c r="G361" s="110"/>
      <c r="H361" s="125"/>
      <c r="I361" s="125"/>
      <c r="J361" s="125"/>
      <c r="K361" s="113"/>
      <c r="L361" s="113"/>
      <c r="M361" s="113"/>
      <c r="N361" s="113"/>
    </row>
    <row r="362" spans="1:14" s="8" customFormat="1" ht="13.5" customHeight="1">
      <c r="A362" s="141" t="s">
        <v>296</v>
      </c>
      <c r="B362" s="109">
        <v>210</v>
      </c>
      <c r="C362" s="109"/>
      <c r="D362" s="109"/>
      <c r="E362" s="109"/>
      <c r="F362" s="109"/>
      <c r="G362" s="110"/>
      <c r="H362" s="125">
        <f>H364</f>
        <v>41334910.05</v>
      </c>
      <c r="I362" s="125">
        <f aca="true" t="shared" si="22" ref="I362:N362">I364</f>
        <v>36305946.660000004</v>
      </c>
      <c r="J362" s="125">
        <f t="shared" si="22"/>
        <v>658223.53</v>
      </c>
      <c r="K362" s="125">
        <f t="shared" si="22"/>
        <v>0</v>
      </c>
      <c r="L362" s="125">
        <f t="shared" si="22"/>
        <v>0</v>
      </c>
      <c r="M362" s="125">
        <f t="shared" si="22"/>
        <v>4370739.859999999</v>
      </c>
      <c r="N362" s="125">
        <f t="shared" si="22"/>
        <v>0</v>
      </c>
    </row>
    <row r="363" spans="1:14" s="8" customFormat="1" ht="13.5" customHeight="1">
      <c r="A363" s="142" t="s">
        <v>3</v>
      </c>
      <c r="B363" s="115"/>
      <c r="C363" s="115"/>
      <c r="D363" s="115"/>
      <c r="E363" s="115"/>
      <c r="F363" s="115"/>
      <c r="G363" s="122"/>
      <c r="H363" s="118"/>
      <c r="I363" s="125"/>
      <c r="J363" s="125"/>
      <c r="K363" s="113"/>
      <c r="L363" s="113"/>
      <c r="M363" s="113"/>
      <c r="N363" s="113"/>
    </row>
    <row r="364" spans="1:14" s="8" customFormat="1" ht="25.5" customHeight="1">
      <c r="A364" s="142" t="s">
        <v>297</v>
      </c>
      <c r="B364" s="115">
        <v>211</v>
      </c>
      <c r="C364" s="115"/>
      <c r="D364" s="115"/>
      <c r="E364" s="115"/>
      <c r="F364" s="115"/>
      <c r="G364" s="122"/>
      <c r="H364" s="118">
        <f>SUM(H366:H384)</f>
        <v>41334910.05</v>
      </c>
      <c r="I364" s="125">
        <f>I366+I374+I375+I377+I367+I368+I378+I379</f>
        <v>36305946.660000004</v>
      </c>
      <c r="J364" s="125">
        <f>SUM(J366:J382)</f>
        <v>658223.53</v>
      </c>
      <c r="K364" s="125">
        <f>K366+K374+K375+K377</f>
        <v>0</v>
      </c>
      <c r="L364" s="125">
        <f>L366+L374+L375+L377</f>
        <v>0</v>
      </c>
      <c r="M364" s="125">
        <f>SUM(M366:M384)</f>
        <v>4370739.859999999</v>
      </c>
      <c r="N364" s="125">
        <f>N366+N374+N375+N377</f>
        <v>0</v>
      </c>
    </row>
    <row r="365" spans="1:14" s="8" customFormat="1" ht="16.5" customHeight="1">
      <c r="A365" s="142" t="s">
        <v>4</v>
      </c>
      <c r="B365" s="115"/>
      <c r="C365" s="115"/>
      <c r="D365" s="115"/>
      <c r="E365" s="115"/>
      <c r="F365" s="115"/>
      <c r="G365" s="122"/>
      <c r="H365" s="118"/>
      <c r="I365" s="125"/>
      <c r="J365" s="125"/>
      <c r="K365" s="113"/>
      <c r="L365" s="113"/>
      <c r="M365" s="113"/>
      <c r="N365" s="113"/>
    </row>
    <row r="366" spans="1:14" s="8" customFormat="1" ht="16.5" customHeight="1">
      <c r="A366" s="142" t="s">
        <v>298</v>
      </c>
      <c r="B366" s="115"/>
      <c r="C366" s="115">
        <v>211</v>
      </c>
      <c r="D366" s="115">
        <v>800000000</v>
      </c>
      <c r="E366" s="115">
        <v>111</v>
      </c>
      <c r="F366" s="115">
        <v>211</v>
      </c>
      <c r="G366" s="102" t="s">
        <v>523</v>
      </c>
      <c r="H366" s="118">
        <f aca="true" t="shared" si="23" ref="H366:H371">I366+J366+K366+L366+M366+N366</f>
        <v>19814428.33</v>
      </c>
      <c r="I366" s="125">
        <f>17923864.13+1890564.2</f>
        <v>19814428.33</v>
      </c>
      <c r="J366" s="125"/>
      <c r="K366" s="113"/>
      <c r="L366" s="113"/>
      <c r="M366" s="113"/>
      <c r="N366" s="113"/>
    </row>
    <row r="367" spans="1:14" s="8" customFormat="1" ht="16.5" customHeight="1">
      <c r="A367" s="142" t="s">
        <v>298</v>
      </c>
      <c r="B367" s="487"/>
      <c r="C367" s="487">
        <v>211</v>
      </c>
      <c r="D367" s="489">
        <v>800000000</v>
      </c>
      <c r="E367" s="487">
        <v>111</v>
      </c>
      <c r="F367" s="487">
        <v>211</v>
      </c>
      <c r="G367" s="490" t="s">
        <v>823</v>
      </c>
      <c r="H367" s="491">
        <f t="shared" si="23"/>
        <v>8069263.48</v>
      </c>
      <c r="I367" s="486">
        <v>8069263.48</v>
      </c>
      <c r="J367" s="125"/>
      <c r="K367" s="113"/>
      <c r="L367" s="113"/>
      <c r="M367" s="113"/>
      <c r="N367" s="113"/>
    </row>
    <row r="368" spans="1:14" s="8" customFormat="1" ht="16.5" customHeight="1">
      <c r="A368" s="142" t="s">
        <v>298</v>
      </c>
      <c r="B368" s="487"/>
      <c r="C368" s="487">
        <v>211</v>
      </c>
      <c r="D368" s="489">
        <v>800000000</v>
      </c>
      <c r="E368" s="487">
        <v>111</v>
      </c>
      <c r="F368" s="487">
        <v>211</v>
      </c>
      <c r="G368" s="490" t="s">
        <v>523</v>
      </c>
      <c r="H368" s="491">
        <f t="shared" si="23"/>
        <v>0</v>
      </c>
      <c r="I368" s="486"/>
      <c r="J368" s="125"/>
      <c r="K368" s="113"/>
      <c r="L368" s="113"/>
      <c r="M368" s="113"/>
      <c r="N368" s="113"/>
    </row>
    <row r="369" spans="1:14" s="8" customFormat="1" ht="16.5" customHeight="1">
      <c r="A369" s="142" t="s">
        <v>298</v>
      </c>
      <c r="B369" s="487"/>
      <c r="C369" s="487">
        <v>211</v>
      </c>
      <c r="D369" s="489">
        <v>901480000</v>
      </c>
      <c r="E369" s="487">
        <v>111</v>
      </c>
      <c r="F369" s="487">
        <v>211</v>
      </c>
      <c r="G369" s="500" t="s">
        <v>523</v>
      </c>
      <c r="H369" s="491">
        <f t="shared" si="23"/>
        <v>279864.68</v>
      </c>
      <c r="I369" s="485">
        <v>0</v>
      </c>
      <c r="J369" s="486">
        <v>279864.68</v>
      </c>
      <c r="K369" s="113"/>
      <c r="L369" s="113"/>
      <c r="M369" s="113"/>
      <c r="N369" s="113"/>
    </row>
    <row r="370" spans="1:14" s="8" customFormat="1" ht="16.5" customHeight="1">
      <c r="A370" s="142" t="s">
        <v>298</v>
      </c>
      <c r="B370" s="487"/>
      <c r="C370" s="487">
        <v>211</v>
      </c>
      <c r="D370" s="489">
        <v>901160000</v>
      </c>
      <c r="E370" s="487">
        <v>111</v>
      </c>
      <c r="F370" s="487">
        <v>211</v>
      </c>
      <c r="G370" s="500" t="s">
        <v>523</v>
      </c>
      <c r="H370" s="491">
        <f t="shared" si="23"/>
        <v>97731.18</v>
      </c>
      <c r="I370" s="485">
        <v>0</v>
      </c>
      <c r="J370" s="486">
        <v>97731.18</v>
      </c>
      <c r="K370" s="113"/>
      <c r="L370" s="113"/>
      <c r="M370" s="113"/>
      <c r="N370" s="113"/>
    </row>
    <row r="371" spans="1:14" s="8" customFormat="1" ht="16.5" customHeight="1">
      <c r="A371" s="142" t="s">
        <v>298</v>
      </c>
      <c r="B371" s="487"/>
      <c r="C371" s="487">
        <v>211</v>
      </c>
      <c r="D371" s="489">
        <v>901830000</v>
      </c>
      <c r="E371" s="487">
        <v>111</v>
      </c>
      <c r="F371" s="487">
        <v>211</v>
      </c>
      <c r="G371" s="500" t="s">
        <v>523</v>
      </c>
      <c r="H371" s="491">
        <f t="shared" si="23"/>
        <v>51147.87</v>
      </c>
      <c r="I371" s="485">
        <v>0</v>
      </c>
      <c r="J371" s="486">
        <v>51147.87</v>
      </c>
      <c r="K371" s="113"/>
      <c r="L371" s="113"/>
      <c r="M371" s="113"/>
      <c r="N371" s="113"/>
    </row>
    <row r="372" spans="1:14" s="8" customFormat="1" ht="16.5" customHeight="1">
      <c r="A372" s="142" t="s">
        <v>298</v>
      </c>
      <c r="B372" s="115"/>
      <c r="C372" s="115">
        <v>211</v>
      </c>
      <c r="D372" s="116" t="s">
        <v>521</v>
      </c>
      <c r="E372" s="115">
        <v>111</v>
      </c>
      <c r="F372" s="115">
        <v>211</v>
      </c>
      <c r="G372" s="102" t="s">
        <v>530</v>
      </c>
      <c r="H372" s="118">
        <f>SUM(I372:M372)</f>
        <v>3356945.7699999996</v>
      </c>
      <c r="I372" s="125"/>
      <c r="J372" s="125"/>
      <c r="K372" s="113"/>
      <c r="L372" s="113"/>
      <c r="M372" s="113">
        <f>2128645.86+1228299.91</f>
        <v>3356945.7699999996</v>
      </c>
      <c r="N372" s="113"/>
    </row>
    <row r="373" spans="1:14" s="8" customFormat="1" ht="16.5" customHeight="1" hidden="1">
      <c r="A373" s="142" t="s">
        <v>298</v>
      </c>
      <c r="B373" s="487"/>
      <c r="C373" s="489">
        <v>211</v>
      </c>
      <c r="D373" s="488" t="s">
        <v>521</v>
      </c>
      <c r="E373" s="489">
        <v>111</v>
      </c>
      <c r="F373" s="489">
        <v>211</v>
      </c>
      <c r="G373" s="494" t="s">
        <v>530</v>
      </c>
      <c r="H373" s="491">
        <f aca="true" t="shared" si="24" ref="H373:H383">I373+J373+K373+L373+M373+N373</f>
        <v>0</v>
      </c>
      <c r="I373" s="485">
        <v>0</v>
      </c>
      <c r="J373" s="485">
        <v>0</v>
      </c>
      <c r="K373" s="499">
        <v>0</v>
      </c>
      <c r="L373" s="499">
        <v>0</v>
      </c>
      <c r="M373" s="497"/>
      <c r="N373" s="113"/>
    </row>
    <row r="374" spans="1:14" s="8" customFormat="1" ht="16.5" customHeight="1">
      <c r="A374" s="142" t="s">
        <v>299</v>
      </c>
      <c r="B374" s="115"/>
      <c r="C374" s="115">
        <v>211</v>
      </c>
      <c r="D374" s="115"/>
      <c r="E374" s="115">
        <v>111</v>
      </c>
      <c r="F374" s="115">
        <v>211</v>
      </c>
      <c r="G374" s="122"/>
      <c r="H374" s="118">
        <f t="shared" si="24"/>
        <v>0</v>
      </c>
      <c r="I374" s="125"/>
      <c r="J374" s="125"/>
      <c r="K374" s="113"/>
      <c r="L374" s="113"/>
      <c r="M374" s="113"/>
      <c r="N374" s="113"/>
    </row>
    <row r="375" spans="1:14" s="8" customFormat="1" ht="54" customHeight="1">
      <c r="A375" s="142" t="s">
        <v>300</v>
      </c>
      <c r="B375" s="487"/>
      <c r="C375" s="489">
        <v>266</v>
      </c>
      <c r="D375" s="489">
        <v>800000000</v>
      </c>
      <c r="E375" s="489">
        <v>112</v>
      </c>
      <c r="F375" s="489">
        <v>266</v>
      </c>
      <c r="G375" s="490" t="s">
        <v>823</v>
      </c>
      <c r="H375" s="491">
        <f t="shared" si="24"/>
        <v>1380</v>
      </c>
      <c r="I375" s="486">
        <f>690*2</f>
        <v>1380</v>
      </c>
      <c r="J375" s="125">
        <v>0</v>
      </c>
      <c r="K375" s="113"/>
      <c r="L375" s="113"/>
      <c r="M375" s="113"/>
      <c r="N375" s="113"/>
    </row>
    <row r="376" spans="1:14" s="8" customFormat="1" ht="54" customHeight="1">
      <c r="A376" s="142" t="s">
        <v>840</v>
      </c>
      <c r="B376" s="487"/>
      <c r="C376" s="489">
        <v>266</v>
      </c>
      <c r="D376" s="489">
        <v>901480000</v>
      </c>
      <c r="E376" s="489">
        <v>112</v>
      </c>
      <c r="F376" s="489">
        <v>266</v>
      </c>
      <c r="G376" s="500" t="s">
        <v>523</v>
      </c>
      <c r="H376" s="491">
        <f t="shared" si="24"/>
        <v>100000</v>
      </c>
      <c r="I376" s="485">
        <v>0</v>
      </c>
      <c r="J376" s="486">
        <v>100000</v>
      </c>
      <c r="K376" s="113"/>
      <c r="L376" s="113"/>
      <c r="M376" s="113"/>
      <c r="N376" s="113"/>
    </row>
    <row r="377" spans="1:14" s="8" customFormat="1" ht="15.75" customHeight="1">
      <c r="A377" s="142" t="s">
        <v>301</v>
      </c>
      <c r="B377" s="115"/>
      <c r="C377" s="115">
        <v>213</v>
      </c>
      <c r="D377" s="115">
        <v>800000000</v>
      </c>
      <c r="E377" s="115">
        <v>119</v>
      </c>
      <c r="F377" s="115">
        <v>213</v>
      </c>
      <c r="G377" s="102" t="s">
        <v>523</v>
      </c>
      <c r="H377" s="118">
        <f t="shared" si="24"/>
        <v>5934918.67</v>
      </c>
      <c r="I377" s="125">
        <f>5413006.97+521911.7</f>
        <v>5934918.67</v>
      </c>
      <c r="J377" s="125"/>
      <c r="K377" s="113"/>
      <c r="L377" s="113"/>
      <c r="M377" s="113"/>
      <c r="N377" s="113"/>
    </row>
    <row r="378" spans="1:14" s="8" customFormat="1" ht="15.75" customHeight="1">
      <c r="A378" s="142" t="s">
        <v>301</v>
      </c>
      <c r="B378" s="487"/>
      <c r="C378" s="489">
        <v>213</v>
      </c>
      <c r="D378" s="489">
        <v>800000000</v>
      </c>
      <c r="E378" s="489">
        <v>119</v>
      </c>
      <c r="F378" s="489">
        <v>213</v>
      </c>
      <c r="G378" s="490" t="s">
        <v>823</v>
      </c>
      <c r="H378" s="491">
        <f t="shared" si="24"/>
        <v>2485956.18</v>
      </c>
      <c r="I378" s="486">
        <v>2485956.18</v>
      </c>
      <c r="J378" s="125"/>
      <c r="K378" s="113"/>
      <c r="L378" s="113"/>
      <c r="M378" s="113"/>
      <c r="N378" s="113"/>
    </row>
    <row r="379" spans="1:14" s="8" customFormat="1" ht="15.75" customHeight="1">
      <c r="A379" s="142" t="s">
        <v>301</v>
      </c>
      <c r="B379" s="487"/>
      <c r="C379" s="489">
        <v>213</v>
      </c>
      <c r="D379" s="489">
        <v>800000000</v>
      </c>
      <c r="E379" s="489">
        <v>119</v>
      </c>
      <c r="F379" s="489">
        <v>213</v>
      </c>
      <c r="G379" s="490" t="s">
        <v>523</v>
      </c>
      <c r="H379" s="491">
        <f t="shared" si="24"/>
        <v>0</v>
      </c>
      <c r="I379" s="486"/>
      <c r="J379" s="125"/>
      <c r="K379" s="113"/>
      <c r="L379" s="113"/>
      <c r="M379" s="113"/>
      <c r="N379" s="113"/>
    </row>
    <row r="380" spans="1:14" s="8" customFormat="1" ht="15.75" customHeight="1">
      <c r="A380" s="142" t="s">
        <v>301</v>
      </c>
      <c r="B380" s="487"/>
      <c r="C380" s="489">
        <v>213</v>
      </c>
      <c r="D380" s="489">
        <v>901480000</v>
      </c>
      <c r="E380" s="489">
        <v>119</v>
      </c>
      <c r="F380" s="489">
        <v>213</v>
      </c>
      <c r="G380" s="500" t="s">
        <v>523</v>
      </c>
      <c r="H380" s="491">
        <f t="shared" si="24"/>
        <v>84518.32</v>
      </c>
      <c r="I380" s="485">
        <v>0</v>
      </c>
      <c r="J380" s="486">
        <v>84518.32</v>
      </c>
      <c r="K380" s="113"/>
      <c r="L380" s="113"/>
      <c r="M380" s="113"/>
      <c r="N380" s="113"/>
    </row>
    <row r="381" spans="1:14" s="8" customFormat="1" ht="15.75" customHeight="1">
      <c r="A381" s="142" t="s">
        <v>301</v>
      </c>
      <c r="B381" s="487"/>
      <c r="C381" s="489">
        <v>213</v>
      </c>
      <c r="D381" s="489">
        <v>901160000</v>
      </c>
      <c r="E381" s="489">
        <v>119</v>
      </c>
      <c r="F381" s="489">
        <v>213</v>
      </c>
      <c r="G381" s="500" t="s">
        <v>523</v>
      </c>
      <c r="H381" s="491">
        <f t="shared" si="24"/>
        <v>29514.82</v>
      </c>
      <c r="I381" s="485">
        <v>0</v>
      </c>
      <c r="J381" s="486">
        <v>29514.82</v>
      </c>
      <c r="K381" s="113"/>
      <c r="L381" s="113"/>
      <c r="M381" s="113"/>
      <c r="N381" s="113"/>
    </row>
    <row r="382" spans="1:14" s="8" customFormat="1" ht="15.75" customHeight="1">
      <c r="A382" s="142" t="s">
        <v>301</v>
      </c>
      <c r="B382" s="487"/>
      <c r="C382" s="489">
        <v>213</v>
      </c>
      <c r="D382" s="489">
        <v>901830000</v>
      </c>
      <c r="E382" s="489">
        <v>119</v>
      </c>
      <c r="F382" s="489">
        <v>213</v>
      </c>
      <c r="G382" s="500" t="s">
        <v>523</v>
      </c>
      <c r="H382" s="491">
        <f t="shared" si="24"/>
        <v>15446.66</v>
      </c>
      <c r="I382" s="485">
        <v>0</v>
      </c>
      <c r="J382" s="486">
        <v>15446.66</v>
      </c>
      <c r="K382" s="113"/>
      <c r="L382" s="113"/>
      <c r="M382" s="113"/>
      <c r="N382" s="113"/>
    </row>
    <row r="383" spans="1:14" s="8" customFormat="1" ht="15.75" customHeight="1">
      <c r="A383" s="142" t="s">
        <v>301</v>
      </c>
      <c r="B383" s="487"/>
      <c r="C383" s="487">
        <v>213</v>
      </c>
      <c r="D383" s="488" t="s">
        <v>521</v>
      </c>
      <c r="E383" s="487">
        <v>119</v>
      </c>
      <c r="F383" s="487">
        <v>213</v>
      </c>
      <c r="G383" s="494" t="s">
        <v>530</v>
      </c>
      <c r="H383" s="491">
        <f t="shared" si="24"/>
        <v>1013794.0900000001</v>
      </c>
      <c r="I383" s="485">
        <v>0</v>
      </c>
      <c r="J383" s="485">
        <v>0</v>
      </c>
      <c r="K383" s="499">
        <v>0</v>
      </c>
      <c r="L383" s="499">
        <v>0</v>
      </c>
      <c r="M383" s="496">
        <f>370946.69+642847.4</f>
        <v>1013794.0900000001</v>
      </c>
      <c r="N383" s="113"/>
    </row>
    <row r="384" spans="1:14" s="8" customFormat="1" ht="15.75" customHeight="1" hidden="1">
      <c r="A384" s="142" t="s">
        <v>301</v>
      </c>
      <c r="B384" s="115"/>
      <c r="C384" s="115">
        <v>213</v>
      </c>
      <c r="D384" s="116" t="s">
        <v>521</v>
      </c>
      <c r="E384" s="115">
        <v>119</v>
      </c>
      <c r="F384" s="115">
        <v>213</v>
      </c>
      <c r="G384" s="102" t="s">
        <v>530</v>
      </c>
      <c r="H384" s="118">
        <f>SUM(I384:M384)</f>
        <v>0</v>
      </c>
      <c r="I384" s="125"/>
      <c r="J384" s="125"/>
      <c r="K384" s="113"/>
      <c r="L384" s="113"/>
      <c r="M384" s="113"/>
      <c r="N384" s="113"/>
    </row>
    <row r="385" spans="1:14" s="8" customFormat="1" ht="24.75" customHeight="1">
      <c r="A385" s="142" t="s">
        <v>399</v>
      </c>
      <c r="B385" s="115">
        <v>220</v>
      </c>
      <c r="C385" s="115"/>
      <c r="D385" s="115"/>
      <c r="E385" s="115"/>
      <c r="F385" s="115"/>
      <c r="G385" s="115"/>
      <c r="H385" s="120">
        <f>SUM(I385:M385)</f>
        <v>243906</v>
      </c>
      <c r="I385" s="113">
        <f>I387+I391+I392+I393+I394</f>
        <v>0</v>
      </c>
      <c r="J385" s="113">
        <f>SUM(J387:J392)</f>
        <v>243906</v>
      </c>
      <c r="K385" s="113">
        <f>K387+K391+K392+K393+K394</f>
        <v>0</v>
      </c>
      <c r="L385" s="113">
        <f>L387+L391+L392+L393+L394</f>
        <v>0</v>
      </c>
      <c r="M385" s="113">
        <f>M387+M391+M392+M393+M394</f>
        <v>0</v>
      </c>
      <c r="N385" s="113">
        <f>N387+N391+N392+N393+N394</f>
        <v>0</v>
      </c>
    </row>
    <row r="386" spans="1:14" s="8" customFormat="1" ht="15.75" customHeight="1">
      <c r="A386" s="142" t="s">
        <v>3</v>
      </c>
      <c r="B386" s="115"/>
      <c r="C386" s="115"/>
      <c r="D386" s="115"/>
      <c r="E386" s="115"/>
      <c r="F386" s="115"/>
      <c r="G386" s="122"/>
      <c r="H386" s="118"/>
      <c r="I386" s="125"/>
      <c r="J386" s="125"/>
      <c r="K386" s="113"/>
      <c r="L386" s="113"/>
      <c r="M386" s="113"/>
      <c r="N386" s="113"/>
    </row>
    <row r="387" spans="1:14" s="8" customFormat="1" ht="39" customHeight="1">
      <c r="A387" s="143" t="s">
        <v>302</v>
      </c>
      <c r="B387" s="144"/>
      <c r="C387" s="145">
        <v>263</v>
      </c>
      <c r="D387" s="115">
        <v>901140000</v>
      </c>
      <c r="E387" s="115">
        <v>323</v>
      </c>
      <c r="F387" s="145">
        <v>263</v>
      </c>
      <c r="G387" s="146" t="s">
        <v>523</v>
      </c>
      <c r="H387" s="118">
        <f aca="true" t="shared" si="25" ref="H387:H394">I387+J387+K387+L387+M387+N387</f>
        <v>0</v>
      </c>
      <c r="I387" s="125"/>
      <c r="J387" s="125">
        <v>0</v>
      </c>
      <c r="K387" s="113"/>
      <c r="L387" s="113"/>
      <c r="M387" s="113"/>
      <c r="N387" s="113"/>
    </row>
    <row r="388" spans="1:14" s="8" customFormat="1" ht="39" customHeight="1">
      <c r="A388" s="114" t="s">
        <v>831</v>
      </c>
      <c r="B388" s="487"/>
      <c r="C388" s="489">
        <v>263</v>
      </c>
      <c r="D388" s="489">
        <v>901140000</v>
      </c>
      <c r="E388" s="489">
        <v>323</v>
      </c>
      <c r="F388" s="489">
        <v>263</v>
      </c>
      <c r="G388" s="500" t="s">
        <v>523</v>
      </c>
      <c r="H388" s="491">
        <f t="shared" si="25"/>
        <v>56596</v>
      </c>
      <c r="I388" s="485">
        <v>0</v>
      </c>
      <c r="J388" s="486">
        <v>56596</v>
      </c>
      <c r="K388" s="113"/>
      <c r="L388" s="113"/>
      <c r="M388" s="113"/>
      <c r="N388" s="113"/>
    </row>
    <row r="389" spans="1:14" s="8" customFormat="1" ht="39" customHeight="1">
      <c r="A389" s="114" t="s">
        <v>833</v>
      </c>
      <c r="B389" s="487"/>
      <c r="C389" s="489">
        <v>263</v>
      </c>
      <c r="D389" s="489">
        <v>901150000</v>
      </c>
      <c r="E389" s="489">
        <v>323</v>
      </c>
      <c r="F389" s="489">
        <v>263</v>
      </c>
      <c r="G389" s="500" t="s">
        <v>523</v>
      </c>
      <c r="H389" s="491">
        <f t="shared" si="25"/>
        <v>67915</v>
      </c>
      <c r="I389" s="485">
        <v>0</v>
      </c>
      <c r="J389" s="486">
        <v>67915</v>
      </c>
      <c r="K389" s="113"/>
      <c r="L389" s="113"/>
      <c r="M389" s="113"/>
      <c r="N389" s="113"/>
    </row>
    <row r="390" spans="1:14" s="8" customFormat="1" ht="39" customHeight="1">
      <c r="A390" s="114" t="s">
        <v>241</v>
      </c>
      <c r="B390" s="487"/>
      <c r="C390" s="489">
        <v>263</v>
      </c>
      <c r="D390" s="502">
        <v>901210000</v>
      </c>
      <c r="E390" s="489">
        <v>323</v>
      </c>
      <c r="F390" s="489">
        <v>263</v>
      </c>
      <c r="G390" s="492" t="s">
        <v>518</v>
      </c>
      <c r="H390" s="491">
        <f t="shared" si="25"/>
        <v>105533</v>
      </c>
      <c r="I390" s="485">
        <v>0</v>
      </c>
      <c r="J390" s="486">
        <v>105533</v>
      </c>
      <c r="K390" s="113"/>
      <c r="L390" s="113"/>
      <c r="M390" s="113"/>
      <c r="N390" s="113"/>
    </row>
    <row r="391" spans="1:14" s="8" customFormat="1" ht="33.75" customHeight="1">
      <c r="A391" s="136" t="s">
        <v>39</v>
      </c>
      <c r="B391" s="115"/>
      <c r="C391" s="115">
        <v>262</v>
      </c>
      <c r="D391" s="115">
        <v>901140000</v>
      </c>
      <c r="E391" s="115">
        <v>321</v>
      </c>
      <c r="F391" s="115">
        <v>262</v>
      </c>
      <c r="G391" s="146" t="s">
        <v>523</v>
      </c>
      <c r="H391" s="118">
        <f t="shared" si="25"/>
        <v>13862</v>
      </c>
      <c r="I391" s="125"/>
      <c r="J391" s="160">
        <v>13862</v>
      </c>
      <c r="K391" s="113"/>
      <c r="L391" s="113"/>
      <c r="M391" s="113"/>
      <c r="N391" s="113"/>
    </row>
    <row r="392" spans="1:14" s="8" customFormat="1" ht="15.75" customHeight="1">
      <c r="A392" s="136" t="s">
        <v>303</v>
      </c>
      <c r="B392" s="115"/>
      <c r="C392" s="115"/>
      <c r="D392" s="115"/>
      <c r="E392" s="115"/>
      <c r="F392" s="115"/>
      <c r="G392" s="122"/>
      <c r="H392" s="118">
        <f t="shared" si="25"/>
        <v>0</v>
      </c>
      <c r="I392" s="125"/>
      <c r="J392" s="125"/>
      <c r="K392" s="113"/>
      <c r="L392" s="113"/>
      <c r="M392" s="113"/>
      <c r="N392" s="113"/>
    </row>
    <row r="393" spans="1:14" s="8" customFormat="1" ht="15.75" customHeight="1">
      <c r="A393" s="136" t="s">
        <v>304</v>
      </c>
      <c r="B393" s="115"/>
      <c r="C393" s="115">
        <v>290</v>
      </c>
      <c r="D393" s="115"/>
      <c r="E393" s="115">
        <v>350</v>
      </c>
      <c r="F393" s="115">
        <v>290</v>
      </c>
      <c r="G393" s="122"/>
      <c r="H393" s="118">
        <f t="shared" si="25"/>
        <v>0</v>
      </c>
      <c r="I393" s="125"/>
      <c r="J393" s="125"/>
      <c r="K393" s="113"/>
      <c r="L393" s="113"/>
      <c r="M393" s="113"/>
      <c r="N393" s="113"/>
    </row>
    <row r="394" spans="1:14" s="8" customFormat="1" ht="15.75" customHeight="1">
      <c r="A394" s="136" t="s">
        <v>305</v>
      </c>
      <c r="B394" s="115"/>
      <c r="C394" s="115"/>
      <c r="D394" s="115"/>
      <c r="E394" s="115"/>
      <c r="F394" s="115"/>
      <c r="G394" s="122"/>
      <c r="H394" s="118">
        <f t="shared" si="25"/>
        <v>0</v>
      </c>
      <c r="I394" s="125"/>
      <c r="J394" s="125"/>
      <c r="K394" s="113"/>
      <c r="L394" s="113"/>
      <c r="M394" s="113"/>
      <c r="N394" s="113"/>
    </row>
    <row r="395" spans="1:14" s="8" customFormat="1" ht="24.75" customHeight="1">
      <c r="A395" s="136" t="s">
        <v>306</v>
      </c>
      <c r="B395" s="115">
        <v>230</v>
      </c>
      <c r="C395" s="115"/>
      <c r="D395" s="115"/>
      <c r="E395" s="115"/>
      <c r="F395" s="115"/>
      <c r="G395" s="122"/>
      <c r="H395" s="118">
        <f aca="true" t="shared" si="26" ref="H395:N395">H396+H399</f>
        <v>4441633</v>
      </c>
      <c r="I395" s="125">
        <f t="shared" si="26"/>
        <v>4041887</v>
      </c>
      <c r="J395" s="125">
        <f t="shared" si="26"/>
        <v>0</v>
      </c>
      <c r="K395" s="125">
        <f t="shared" si="26"/>
        <v>0</v>
      </c>
      <c r="L395" s="125">
        <f t="shared" si="26"/>
        <v>0</v>
      </c>
      <c r="M395" s="125">
        <f t="shared" si="26"/>
        <v>399746</v>
      </c>
      <c r="N395" s="125">
        <f t="shared" si="26"/>
        <v>0</v>
      </c>
    </row>
    <row r="396" spans="1:14" s="8" customFormat="1" ht="15.75" customHeight="1">
      <c r="A396" s="142" t="s">
        <v>3</v>
      </c>
      <c r="B396" s="115"/>
      <c r="C396" s="115"/>
      <c r="D396" s="115"/>
      <c r="E396" s="115"/>
      <c r="F396" s="115"/>
      <c r="G396" s="122"/>
      <c r="H396" s="118">
        <f aca="true" t="shared" si="27" ref="H396:N396">H397+H398</f>
        <v>4441633</v>
      </c>
      <c r="I396" s="125">
        <f t="shared" si="27"/>
        <v>4041887</v>
      </c>
      <c r="J396" s="125">
        <f t="shared" si="27"/>
        <v>0</v>
      </c>
      <c r="K396" s="125">
        <f t="shared" si="27"/>
        <v>0</v>
      </c>
      <c r="L396" s="125">
        <f t="shared" si="27"/>
        <v>0</v>
      </c>
      <c r="M396" s="125">
        <f t="shared" si="27"/>
        <v>399746</v>
      </c>
      <c r="N396" s="125">
        <f t="shared" si="27"/>
        <v>0</v>
      </c>
    </row>
    <row r="397" spans="1:14" s="8" customFormat="1" ht="15.75" customHeight="1">
      <c r="A397" s="142" t="s">
        <v>307</v>
      </c>
      <c r="B397" s="115"/>
      <c r="C397" s="115">
        <v>290</v>
      </c>
      <c r="D397" s="115"/>
      <c r="E397" s="115">
        <v>831</v>
      </c>
      <c r="F397" s="115">
        <v>290</v>
      </c>
      <c r="G397" s="122"/>
      <c r="H397" s="118">
        <f>I397+J397+K397+L397+M397+N397</f>
        <v>0</v>
      </c>
      <c r="I397" s="125"/>
      <c r="J397" s="125"/>
      <c r="K397" s="113"/>
      <c r="L397" s="113"/>
      <c r="M397" s="113"/>
      <c r="N397" s="113"/>
    </row>
    <row r="398" spans="1:14" s="8" customFormat="1" ht="15.75" customHeight="1">
      <c r="A398" s="142" t="s">
        <v>308</v>
      </c>
      <c r="B398" s="115"/>
      <c r="C398" s="115">
        <v>290</v>
      </c>
      <c r="D398" s="115"/>
      <c r="E398" s="115">
        <v>850</v>
      </c>
      <c r="F398" s="115">
        <v>290</v>
      </c>
      <c r="G398" s="122"/>
      <c r="H398" s="118">
        <f>I398+J398+K398+L398+M398+N398</f>
        <v>4441633</v>
      </c>
      <c r="I398" s="125">
        <f aca="true" t="shared" si="28" ref="I398:N398">SUM(I400:I410)</f>
        <v>4041887</v>
      </c>
      <c r="J398" s="125">
        <f t="shared" si="28"/>
        <v>0</v>
      </c>
      <c r="K398" s="125">
        <f t="shared" si="28"/>
        <v>0</v>
      </c>
      <c r="L398" s="125">
        <f t="shared" si="28"/>
        <v>0</v>
      </c>
      <c r="M398" s="125">
        <f t="shared" si="28"/>
        <v>399746</v>
      </c>
      <c r="N398" s="125">
        <f t="shared" si="28"/>
        <v>0</v>
      </c>
    </row>
    <row r="399" spans="1:14" s="8" customFormat="1" ht="15.75" customHeight="1">
      <c r="A399" s="142" t="s">
        <v>4</v>
      </c>
      <c r="B399" s="115"/>
      <c r="C399" s="115"/>
      <c r="D399" s="115"/>
      <c r="E399" s="115"/>
      <c r="F399" s="115"/>
      <c r="G399" s="122"/>
      <c r="H399" s="118"/>
      <c r="I399" s="125"/>
      <c r="J399" s="125"/>
      <c r="K399" s="125"/>
      <c r="L399" s="125"/>
      <c r="M399" s="125"/>
      <c r="N399" s="125"/>
    </row>
    <row r="400" spans="1:14" s="8" customFormat="1" ht="26.25" customHeight="1">
      <c r="A400" s="142" t="s">
        <v>309</v>
      </c>
      <c r="B400" s="115"/>
      <c r="C400" s="115">
        <v>291</v>
      </c>
      <c r="D400" s="115">
        <v>800000000</v>
      </c>
      <c r="E400" s="115">
        <v>851</v>
      </c>
      <c r="F400" s="115">
        <v>291</v>
      </c>
      <c r="G400" s="102" t="s">
        <v>532</v>
      </c>
      <c r="H400" s="118">
        <f>I400+J400+K400+L400+M400+N400</f>
        <v>4041887</v>
      </c>
      <c r="I400" s="125">
        <f>2959713+1082174</f>
        <v>4041887</v>
      </c>
      <c r="J400" s="125"/>
      <c r="K400" s="113"/>
      <c r="L400" s="113"/>
      <c r="M400" s="113">
        <v>0</v>
      </c>
      <c r="N400" s="113"/>
    </row>
    <row r="401" spans="1:14" s="8" customFormat="1" ht="26.25" customHeight="1" hidden="1">
      <c r="A401" s="142" t="s">
        <v>309</v>
      </c>
      <c r="B401" s="487"/>
      <c r="C401" s="489">
        <v>291</v>
      </c>
      <c r="D401" s="489">
        <v>800000000</v>
      </c>
      <c r="E401" s="489">
        <v>851</v>
      </c>
      <c r="F401" s="489">
        <v>291</v>
      </c>
      <c r="G401" s="492" t="s">
        <v>516</v>
      </c>
      <c r="H401" s="491">
        <f>SUM(I401:N401)</f>
        <v>0</v>
      </c>
      <c r="I401" s="486"/>
      <c r="J401" s="125"/>
      <c r="K401" s="113"/>
      <c r="L401" s="113"/>
      <c r="M401" s="113"/>
      <c r="N401" s="113"/>
    </row>
    <row r="402" spans="1:14" s="8" customFormat="1" ht="26.25" customHeight="1">
      <c r="A402" s="142" t="s">
        <v>309</v>
      </c>
      <c r="B402" s="115"/>
      <c r="C402" s="115">
        <v>291</v>
      </c>
      <c r="D402" s="116" t="s">
        <v>521</v>
      </c>
      <c r="E402" s="115">
        <v>851</v>
      </c>
      <c r="F402" s="115">
        <v>291</v>
      </c>
      <c r="G402" s="102" t="s">
        <v>533</v>
      </c>
      <c r="H402" s="118">
        <f>I402+J402+K402+L402+M402+N402</f>
        <v>399746</v>
      </c>
      <c r="I402" s="125">
        <v>0</v>
      </c>
      <c r="J402" s="125"/>
      <c r="K402" s="113"/>
      <c r="L402" s="113"/>
      <c r="M402" s="113">
        <f>292718+107028</f>
        <v>399746</v>
      </c>
      <c r="N402" s="113"/>
    </row>
    <row r="403" spans="1:14" s="8" customFormat="1" ht="26.25" customHeight="1" hidden="1">
      <c r="A403" s="142" t="s">
        <v>309</v>
      </c>
      <c r="B403" s="487"/>
      <c r="C403" s="489">
        <v>291</v>
      </c>
      <c r="D403" s="488" t="s">
        <v>521</v>
      </c>
      <c r="E403" s="489">
        <v>851</v>
      </c>
      <c r="F403" s="489">
        <v>291</v>
      </c>
      <c r="G403" s="492" t="s">
        <v>530</v>
      </c>
      <c r="H403" s="491">
        <f>I403+J403+K403+L403+M403+N403</f>
        <v>0</v>
      </c>
      <c r="I403" s="485">
        <v>0</v>
      </c>
      <c r="J403" s="485">
        <v>0</v>
      </c>
      <c r="K403" s="499">
        <v>0</v>
      </c>
      <c r="L403" s="499">
        <v>0</v>
      </c>
      <c r="M403" s="497"/>
      <c r="N403" s="113"/>
    </row>
    <row r="404" spans="1:15" s="8" customFormat="1" ht="15" customHeight="1">
      <c r="A404" s="142" t="s">
        <v>357</v>
      </c>
      <c r="B404" s="115"/>
      <c r="C404" s="115">
        <v>291</v>
      </c>
      <c r="D404" s="115"/>
      <c r="E404" s="115">
        <v>852</v>
      </c>
      <c r="F404" s="115">
        <v>291</v>
      </c>
      <c r="G404" s="122"/>
      <c r="H404" s="118">
        <f aca="true" t="shared" si="29" ref="H404:H411">I404+J404+K404+L404+M404+N404</f>
        <v>0</v>
      </c>
      <c r="I404" s="125"/>
      <c r="J404" s="125"/>
      <c r="K404" s="113"/>
      <c r="L404" s="113"/>
      <c r="M404" s="113"/>
      <c r="N404" s="113"/>
      <c r="O404" s="8" t="s">
        <v>378</v>
      </c>
    </row>
    <row r="405" spans="1:15" s="8" customFormat="1" ht="15" customHeight="1">
      <c r="A405" s="142" t="s">
        <v>310</v>
      </c>
      <c r="B405" s="115"/>
      <c r="C405" s="115">
        <v>291</v>
      </c>
      <c r="D405" s="115"/>
      <c r="E405" s="115">
        <v>853</v>
      </c>
      <c r="F405" s="115">
        <v>291</v>
      </c>
      <c r="G405" s="122"/>
      <c r="H405" s="118">
        <f t="shared" si="29"/>
        <v>0</v>
      </c>
      <c r="I405" s="125"/>
      <c r="J405" s="125"/>
      <c r="K405" s="113"/>
      <c r="L405" s="113"/>
      <c r="M405" s="113"/>
      <c r="N405" s="113"/>
      <c r="O405" s="8" t="s">
        <v>379</v>
      </c>
    </row>
    <row r="406" spans="1:14" s="8" customFormat="1" ht="34.5" customHeight="1">
      <c r="A406" s="142" t="s">
        <v>358</v>
      </c>
      <c r="B406" s="115"/>
      <c r="C406" s="115">
        <v>292</v>
      </c>
      <c r="D406" s="115"/>
      <c r="E406" s="115">
        <v>853</v>
      </c>
      <c r="F406" s="115">
        <v>292</v>
      </c>
      <c r="G406" s="122"/>
      <c r="H406" s="118">
        <f t="shared" si="29"/>
        <v>0</v>
      </c>
      <c r="I406" s="125"/>
      <c r="J406" s="125"/>
      <c r="K406" s="113"/>
      <c r="L406" s="113"/>
      <c r="M406" s="113"/>
      <c r="N406" s="113"/>
    </row>
    <row r="407" spans="1:14" s="8" customFormat="1" ht="26.25" customHeight="1">
      <c r="A407" s="142" t="s">
        <v>359</v>
      </c>
      <c r="B407" s="115"/>
      <c r="C407" s="115">
        <v>293</v>
      </c>
      <c r="D407" s="115"/>
      <c r="E407" s="115">
        <v>853</v>
      </c>
      <c r="F407" s="115">
        <v>293</v>
      </c>
      <c r="G407" s="122"/>
      <c r="H407" s="118">
        <f t="shared" si="29"/>
        <v>0</v>
      </c>
      <c r="I407" s="125"/>
      <c r="J407" s="125"/>
      <c r="K407" s="113"/>
      <c r="L407" s="113"/>
      <c r="M407" s="113"/>
      <c r="N407" s="113"/>
    </row>
    <row r="408" spans="1:14" s="8" customFormat="1" ht="26.25" customHeight="1">
      <c r="A408" s="142" t="s">
        <v>360</v>
      </c>
      <c r="B408" s="115"/>
      <c r="C408" s="115">
        <v>294</v>
      </c>
      <c r="D408" s="115"/>
      <c r="E408" s="115">
        <v>853</v>
      </c>
      <c r="F408" s="115">
        <v>294</v>
      </c>
      <c r="G408" s="122"/>
      <c r="H408" s="118">
        <f t="shared" si="29"/>
        <v>0</v>
      </c>
      <c r="I408" s="125"/>
      <c r="J408" s="125"/>
      <c r="K408" s="113"/>
      <c r="L408" s="113"/>
      <c r="M408" s="113"/>
      <c r="N408" s="113"/>
    </row>
    <row r="409" spans="1:14" s="8" customFormat="1" ht="18" customHeight="1">
      <c r="A409" s="142" t="s">
        <v>361</v>
      </c>
      <c r="B409" s="115"/>
      <c r="C409" s="115">
        <v>295</v>
      </c>
      <c r="D409" s="115"/>
      <c r="E409" s="115">
        <v>853</v>
      </c>
      <c r="F409" s="115">
        <v>295</v>
      </c>
      <c r="G409" s="122"/>
      <c r="H409" s="118">
        <f t="shared" si="29"/>
        <v>0</v>
      </c>
      <c r="I409" s="125"/>
      <c r="J409" s="125"/>
      <c r="K409" s="113"/>
      <c r="L409" s="113"/>
      <c r="M409" s="113"/>
      <c r="N409" s="113"/>
    </row>
    <row r="410" spans="1:14" s="8" customFormat="1" ht="18" customHeight="1">
      <c r="A410" s="142" t="s">
        <v>362</v>
      </c>
      <c r="B410" s="115"/>
      <c r="C410" s="115">
        <v>296</v>
      </c>
      <c r="D410" s="115"/>
      <c r="E410" s="115">
        <v>853</v>
      </c>
      <c r="F410" s="115">
        <v>296</v>
      </c>
      <c r="G410" s="122"/>
      <c r="H410" s="118">
        <f t="shared" si="29"/>
        <v>0</v>
      </c>
      <c r="I410" s="125"/>
      <c r="J410" s="125"/>
      <c r="K410" s="113"/>
      <c r="L410" s="113"/>
      <c r="M410" s="113"/>
      <c r="N410" s="113"/>
    </row>
    <row r="411" spans="1:14" s="8" customFormat="1" ht="18" customHeight="1">
      <c r="A411" s="142" t="s">
        <v>311</v>
      </c>
      <c r="B411" s="115">
        <v>240</v>
      </c>
      <c r="C411" s="115"/>
      <c r="D411" s="115"/>
      <c r="E411" s="115"/>
      <c r="F411" s="115"/>
      <c r="G411" s="122"/>
      <c r="H411" s="118">
        <f t="shared" si="29"/>
        <v>0</v>
      </c>
      <c r="I411" s="125"/>
      <c r="J411" s="125"/>
      <c r="K411" s="113"/>
      <c r="L411" s="113"/>
      <c r="M411" s="113"/>
      <c r="N411" s="113"/>
    </row>
    <row r="412" spans="1:14" s="8" customFormat="1" ht="28.5" customHeight="1">
      <c r="A412" s="136" t="s">
        <v>312</v>
      </c>
      <c r="B412" s="115">
        <v>250</v>
      </c>
      <c r="C412" s="115"/>
      <c r="D412" s="115"/>
      <c r="E412" s="115"/>
      <c r="F412" s="115"/>
      <c r="G412" s="122"/>
      <c r="H412" s="118">
        <f>H414+H415</f>
        <v>0</v>
      </c>
      <c r="I412" s="125">
        <f aca="true" t="shared" si="30" ref="I412:N412">I414+I415</f>
        <v>0</v>
      </c>
      <c r="J412" s="125">
        <f t="shared" si="30"/>
        <v>0</v>
      </c>
      <c r="K412" s="125">
        <f t="shared" si="30"/>
        <v>0</v>
      </c>
      <c r="L412" s="125">
        <f t="shared" si="30"/>
        <v>0</v>
      </c>
      <c r="M412" s="125">
        <f t="shared" si="30"/>
        <v>0</v>
      </c>
      <c r="N412" s="125">
        <f t="shared" si="30"/>
        <v>0</v>
      </c>
    </row>
    <row r="413" spans="1:14" s="8" customFormat="1" ht="14.25" customHeight="1">
      <c r="A413" s="142" t="s">
        <v>4</v>
      </c>
      <c r="B413" s="115"/>
      <c r="C413" s="115"/>
      <c r="D413" s="115"/>
      <c r="E413" s="115"/>
      <c r="F413" s="115"/>
      <c r="G413" s="122"/>
      <c r="H413" s="118"/>
      <c r="I413" s="125"/>
      <c r="J413" s="125"/>
      <c r="K413" s="113"/>
      <c r="L413" s="113"/>
      <c r="M413" s="113"/>
      <c r="N413" s="113"/>
    </row>
    <row r="414" spans="1:14" s="8" customFormat="1" ht="29.25" customHeight="1">
      <c r="A414" s="136" t="s">
        <v>313</v>
      </c>
      <c r="B414" s="115"/>
      <c r="C414" s="115"/>
      <c r="D414" s="115"/>
      <c r="E414" s="115"/>
      <c r="F414" s="115"/>
      <c r="G414" s="122"/>
      <c r="H414" s="118">
        <f>I414+J414+K414+L414+M414+N414</f>
        <v>0</v>
      </c>
      <c r="I414" s="125"/>
      <c r="J414" s="125"/>
      <c r="K414" s="113"/>
      <c r="L414" s="113"/>
      <c r="M414" s="113"/>
      <c r="N414" s="113"/>
    </row>
    <row r="415" spans="1:14" s="8" customFormat="1" ht="34.5" customHeight="1">
      <c r="A415" s="142" t="s">
        <v>314</v>
      </c>
      <c r="B415" s="115"/>
      <c r="C415" s="115"/>
      <c r="D415" s="115"/>
      <c r="E415" s="115"/>
      <c r="F415" s="115"/>
      <c r="G415" s="122"/>
      <c r="H415" s="118">
        <f>I415+J415+K415+L415+M415+N415</f>
        <v>0</v>
      </c>
      <c r="I415" s="125"/>
      <c r="J415" s="125"/>
      <c r="K415" s="125"/>
      <c r="L415" s="125"/>
      <c r="M415" s="125"/>
      <c r="N415" s="113"/>
    </row>
    <row r="416" spans="1:14" s="8" customFormat="1" ht="27" customHeight="1">
      <c r="A416" s="142" t="s">
        <v>315</v>
      </c>
      <c r="B416" s="115">
        <v>260</v>
      </c>
      <c r="C416" s="115"/>
      <c r="D416" s="115"/>
      <c r="E416" s="115"/>
      <c r="F416" s="115"/>
      <c r="G416" s="122"/>
      <c r="H416" s="118">
        <f>I416+J416+M416</f>
        <v>17839467.479999997</v>
      </c>
      <c r="I416" s="125">
        <f>I418+I419+I424+I443+I444+I449+I450+I456+I468+I420+I421++I445+I446+I451+I452</f>
        <v>9084426.98</v>
      </c>
      <c r="J416" s="125">
        <f>J418+J423+J424+J442+J443+J449+J455+J456+J467+J468+J481</f>
        <v>0</v>
      </c>
      <c r="K416" s="125">
        <f>K418+K423+K424+K442+K443+K449+K455+K456+K467+K468+K481</f>
        <v>0</v>
      </c>
      <c r="L416" s="125">
        <f>L418+L423+L424+L442+L443+L449+L455+L456+L467+L468+L481</f>
        <v>0</v>
      </c>
      <c r="M416" s="125">
        <f>M418+M423+M424+M442+M443+M449+M455+M456+M467+M468+M481+M422+M447+M479+M453+M448+M454+M480</f>
        <v>8755040.499999998</v>
      </c>
      <c r="N416" s="125">
        <f>N418+N423+N424+N442+N443+N449+N455+N456+N467+N468+N481</f>
        <v>0</v>
      </c>
    </row>
    <row r="417" spans="1:14" s="41" customFormat="1" ht="15.75" customHeight="1">
      <c r="A417" s="142" t="s">
        <v>4</v>
      </c>
      <c r="B417" s="148"/>
      <c r="C417" s="115"/>
      <c r="D417" s="148"/>
      <c r="E417" s="148"/>
      <c r="F417" s="115"/>
      <c r="G417" s="122"/>
      <c r="H417" s="118"/>
      <c r="I417" s="118"/>
      <c r="J417" s="118"/>
      <c r="K417" s="118"/>
      <c r="L417" s="118"/>
      <c r="M417" s="118"/>
      <c r="N417" s="118"/>
    </row>
    <row r="418" spans="1:14" s="8" customFormat="1" ht="16.5" customHeight="1">
      <c r="A418" s="142" t="s">
        <v>316</v>
      </c>
      <c r="B418" s="115"/>
      <c r="C418" s="115">
        <v>221</v>
      </c>
      <c r="D418" s="115">
        <v>800000000</v>
      </c>
      <c r="E418" s="115">
        <v>244</v>
      </c>
      <c r="F418" s="115">
        <v>221</v>
      </c>
      <c r="G418" s="102" t="s">
        <v>531</v>
      </c>
      <c r="H418" s="118">
        <f>I418+J418+M418</f>
        <v>87600</v>
      </c>
      <c r="I418" s="125">
        <f>72000+15600</f>
        <v>87600</v>
      </c>
      <c r="J418" s="125"/>
      <c r="K418" s="113"/>
      <c r="L418" s="113"/>
      <c r="M418" s="113"/>
      <c r="N418" s="113"/>
    </row>
    <row r="419" spans="1:14" s="8" customFormat="1" ht="16.5" customHeight="1">
      <c r="A419" s="142" t="s">
        <v>316</v>
      </c>
      <c r="B419" s="115"/>
      <c r="C419" s="115">
        <v>221</v>
      </c>
      <c r="D419" s="115">
        <v>800000000</v>
      </c>
      <c r="E419" s="115">
        <v>244</v>
      </c>
      <c r="F419" s="115">
        <v>221</v>
      </c>
      <c r="G419" s="102" t="s">
        <v>532</v>
      </c>
      <c r="H419" s="118">
        <f>I419+J419+M419</f>
        <v>32000.1</v>
      </c>
      <c r="I419" s="125">
        <v>32000.1</v>
      </c>
      <c r="J419" s="125"/>
      <c r="K419" s="113"/>
      <c r="L419" s="113"/>
      <c r="M419" s="113"/>
      <c r="N419" s="113"/>
    </row>
    <row r="420" spans="1:14" s="8" customFormat="1" ht="16.5" customHeight="1" hidden="1">
      <c r="A420" s="142" t="s">
        <v>316</v>
      </c>
      <c r="B420" s="487"/>
      <c r="C420" s="489">
        <v>221</v>
      </c>
      <c r="D420" s="489">
        <v>800000000</v>
      </c>
      <c r="E420" s="489">
        <v>244</v>
      </c>
      <c r="F420" s="489">
        <v>221</v>
      </c>
      <c r="G420" s="490" t="s">
        <v>531</v>
      </c>
      <c r="H420" s="491">
        <f>I420+J420+K420+L420+M420+N420</f>
        <v>0</v>
      </c>
      <c r="I420" s="486"/>
      <c r="J420" s="125"/>
      <c r="K420" s="113"/>
      <c r="L420" s="113"/>
      <c r="M420" s="113"/>
      <c r="N420" s="113"/>
    </row>
    <row r="421" spans="1:14" s="8" customFormat="1" ht="16.5" customHeight="1">
      <c r="A421" s="142" t="s">
        <v>824</v>
      </c>
      <c r="B421" s="487"/>
      <c r="C421" s="489">
        <v>221</v>
      </c>
      <c r="D421" s="489">
        <v>800000000</v>
      </c>
      <c r="E421" s="489">
        <v>244</v>
      </c>
      <c r="F421" s="489">
        <v>221</v>
      </c>
      <c r="G421" s="493" t="s">
        <v>825</v>
      </c>
      <c r="H421" s="491">
        <f>I421+J421+K421+L421+M421+N421</f>
        <v>45806.4</v>
      </c>
      <c r="I421" s="486">
        <v>45806.4</v>
      </c>
      <c r="J421" s="125"/>
      <c r="K421" s="113"/>
      <c r="L421" s="113"/>
      <c r="M421" s="113"/>
      <c r="N421" s="113"/>
    </row>
    <row r="422" spans="1:14" s="8" customFormat="1" ht="16.5" customHeight="1">
      <c r="A422" s="142" t="s">
        <v>316</v>
      </c>
      <c r="B422" s="115"/>
      <c r="C422" s="115">
        <v>221</v>
      </c>
      <c r="D422" s="116" t="s">
        <v>521</v>
      </c>
      <c r="E422" s="115">
        <v>244</v>
      </c>
      <c r="F422" s="115">
        <v>221</v>
      </c>
      <c r="G422" s="102" t="s">
        <v>533</v>
      </c>
      <c r="H422" s="118">
        <f>I422+J422+M422</f>
        <v>2909.1</v>
      </c>
      <c r="I422" s="125">
        <v>0</v>
      </c>
      <c r="J422" s="125"/>
      <c r="K422" s="113"/>
      <c r="L422" s="113"/>
      <c r="M422" s="113">
        <v>2909.1</v>
      </c>
      <c r="N422" s="113"/>
    </row>
    <row r="423" spans="1:14" s="8" customFormat="1" ht="15.75" customHeight="1">
      <c r="A423" s="142" t="s">
        <v>317</v>
      </c>
      <c r="B423" s="115"/>
      <c r="C423" s="115">
        <v>222</v>
      </c>
      <c r="D423" s="115"/>
      <c r="E423" s="115"/>
      <c r="F423" s="115">
        <v>222</v>
      </c>
      <c r="G423" s="122"/>
      <c r="H423" s="118">
        <f>I423+J423+K423+L423+M423+N423</f>
        <v>0</v>
      </c>
      <c r="I423" s="125"/>
      <c r="J423" s="125"/>
      <c r="K423" s="113"/>
      <c r="L423" s="113"/>
      <c r="M423" s="113"/>
      <c r="N423" s="113"/>
    </row>
    <row r="424" spans="1:14" s="8" customFormat="1" ht="14.25" customHeight="1">
      <c r="A424" s="142" t="s">
        <v>318</v>
      </c>
      <c r="B424" s="115"/>
      <c r="C424" s="115">
        <v>223</v>
      </c>
      <c r="D424" s="115"/>
      <c r="E424" s="115"/>
      <c r="F424" s="115">
        <v>223</v>
      </c>
      <c r="G424" s="122"/>
      <c r="H424" s="118">
        <f>I424+J424+M424</f>
        <v>3447560.04</v>
      </c>
      <c r="I424" s="125">
        <f>SUM(I426:I435)</f>
        <v>3142082.57</v>
      </c>
      <c r="J424" s="125">
        <f>J426+J429+J430+J433</f>
        <v>0</v>
      </c>
      <c r="K424" s="125">
        <f>K426+K429+K430+K433</f>
        <v>0</v>
      </c>
      <c r="L424" s="125">
        <f>L426+L429+L430+L433</f>
        <v>0</v>
      </c>
      <c r="M424" s="125">
        <f>SUM(M426:M441)</f>
        <v>305477.47000000003</v>
      </c>
      <c r="N424" s="125">
        <f>N426+N429+N430+N433</f>
        <v>0</v>
      </c>
    </row>
    <row r="425" spans="1:14" s="8" customFormat="1" ht="12.75">
      <c r="A425" s="142" t="s">
        <v>4</v>
      </c>
      <c r="B425" s="115"/>
      <c r="C425" s="115"/>
      <c r="D425" s="115"/>
      <c r="E425" s="115"/>
      <c r="F425" s="115"/>
      <c r="G425" s="122"/>
      <c r="H425" s="118"/>
      <c r="I425" s="125"/>
      <c r="J425" s="125"/>
      <c r="K425" s="113"/>
      <c r="L425" s="113"/>
      <c r="M425" s="113"/>
      <c r="N425" s="113"/>
    </row>
    <row r="426" spans="1:14" s="8" customFormat="1" ht="15" customHeight="1">
      <c r="A426" s="142" t="s">
        <v>319</v>
      </c>
      <c r="B426" s="115"/>
      <c r="C426" s="115"/>
      <c r="D426" s="115">
        <v>800000000</v>
      </c>
      <c r="E426" s="115"/>
      <c r="F426" s="115"/>
      <c r="G426" s="102" t="s">
        <v>532</v>
      </c>
      <c r="H426" s="118">
        <f aca="true" t="shared" si="31" ref="H426:H456">I426+J426+K426+L426+M426+N426</f>
        <v>1604461.97</v>
      </c>
      <c r="I426" s="125">
        <f>1246845.97+357616</f>
        <v>1604461.97</v>
      </c>
      <c r="J426" s="125"/>
      <c r="K426" s="113"/>
      <c r="L426" s="113"/>
      <c r="M426" s="113">
        <v>0</v>
      </c>
      <c r="N426" s="113"/>
    </row>
    <row r="427" spans="1:14" s="8" customFormat="1" ht="15" customHeight="1">
      <c r="A427" s="142" t="s">
        <v>319</v>
      </c>
      <c r="B427" s="487"/>
      <c r="C427" s="487">
        <v>223</v>
      </c>
      <c r="D427" s="489">
        <v>800000000</v>
      </c>
      <c r="E427" s="487">
        <v>244</v>
      </c>
      <c r="F427" s="487">
        <v>223</v>
      </c>
      <c r="G427" s="493" t="s">
        <v>825</v>
      </c>
      <c r="H427" s="491">
        <f>I427+J427+K427+L427+M427+N427</f>
        <v>459884</v>
      </c>
      <c r="I427" s="486">
        <v>459884</v>
      </c>
      <c r="J427" s="125"/>
      <c r="K427" s="113"/>
      <c r="L427" s="113"/>
      <c r="M427" s="113"/>
      <c r="N427" s="113"/>
    </row>
    <row r="428" spans="1:14" s="8" customFormat="1" ht="15" customHeight="1">
      <c r="A428" s="142" t="s">
        <v>319</v>
      </c>
      <c r="B428" s="487"/>
      <c r="C428" s="487">
        <v>223</v>
      </c>
      <c r="D428" s="489">
        <v>800000000</v>
      </c>
      <c r="E428" s="487">
        <v>244</v>
      </c>
      <c r="F428" s="487">
        <v>223</v>
      </c>
      <c r="G428" s="494" t="s">
        <v>532</v>
      </c>
      <c r="H428" s="491">
        <f>I428+J428+K428+L428+M428+N428</f>
        <v>0</v>
      </c>
      <c r="I428" s="486"/>
      <c r="J428" s="125"/>
      <c r="K428" s="113"/>
      <c r="L428" s="113"/>
      <c r="M428" s="113"/>
      <c r="N428" s="113"/>
    </row>
    <row r="429" spans="1:14" s="8" customFormat="1" ht="15" customHeight="1">
      <c r="A429" s="142" t="s">
        <v>320</v>
      </c>
      <c r="B429" s="115"/>
      <c r="C429" s="115"/>
      <c r="D429" s="115">
        <v>800000000</v>
      </c>
      <c r="E429" s="115"/>
      <c r="F429" s="115"/>
      <c r="G429" s="102" t="s">
        <v>532</v>
      </c>
      <c r="H429" s="118">
        <f t="shared" si="31"/>
        <v>0</v>
      </c>
      <c r="I429" s="125">
        <v>0</v>
      </c>
      <c r="J429" s="125"/>
      <c r="K429" s="113"/>
      <c r="L429" s="113"/>
      <c r="M429" s="113"/>
      <c r="N429" s="113"/>
    </row>
    <row r="430" spans="1:14" s="8" customFormat="1" ht="15" customHeight="1">
      <c r="A430" s="142" t="s">
        <v>321</v>
      </c>
      <c r="B430" s="115"/>
      <c r="C430" s="115"/>
      <c r="D430" s="115">
        <v>800000000</v>
      </c>
      <c r="E430" s="115"/>
      <c r="F430" s="115"/>
      <c r="G430" s="102" t="s">
        <v>532</v>
      </c>
      <c r="H430" s="118">
        <f t="shared" si="31"/>
        <v>568356.6799999999</v>
      </c>
      <c r="I430" s="125">
        <f>470359.68+97997</f>
        <v>568356.6799999999</v>
      </c>
      <c r="J430" s="125"/>
      <c r="K430" s="113"/>
      <c r="L430" s="113"/>
      <c r="M430" s="113"/>
      <c r="N430" s="113"/>
    </row>
    <row r="431" spans="1:14" s="8" customFormat="1" ht="15" customHeight="1">
      <c r="A431" s="142" t="s">
        <v>321</v>
      </c>
      <c r="B431" s="487"/>
      <c r="C431" s="487">
        <v>223</v>
      </c>
      <c r="D431" s="489">
        <v>800000000</v>
      </c>
      <c r="E431" s="487">
        <v>244</v>
      </c>
      <c r="F431" s="487">
        <v>223</v>
      </c>
      <c r="G431" s="493" t="s">
        <v>825</v>
      </c>
      <c r="H431" s="491">
        <f>I431+J431+K431+L431+M431+N431</f>
        <v>240227</v>
      </c>
      <c r="I431" s="486">
        <v>240227</v>
      </c>
      <c r="J431" s="125"/>
      <c r="K431" s="113"/>
      <c r="L431" s="113"/>
      <c r="M431" s="113"/>
      <c r="N431" s="113"/>
    </row>
    <row r="432" spans="1:14" s="8" customFormat="1" ht="15" customHeight="1">
      <c r="A432" s="142" t="s">
        <v>321</v>
      </c>
      <c r="B432" s="487"/>
      <c r="C432" s="487">
        <v>223</v>
      </c>
      <c r="D432" s="489">
        <v>800000000</v>
      </c>
      <c r="E432" s="487">
        <v>244</v>
      </c>
      <c r="F432" s="487">
        <v>223</v>
      </c>
      <c r="G432" s="494" t="s">
        <v>532</v>
      </c>
      <c r="H432" s="491">
        <f>I432+J432+K432+L432+M432+N432</f>
        <v>0</v>
      </c>
      <c r="I432" s="486"/>
      <c r="J432" s="125"/>
      <c r="K432" s="113"/>
      <c r="L432" s="113"/>
      <c r="M432" s="113"/>
      <c r="N432" s="113"/>
    </row>
    <row r="433" spans="1:14" s="8" customFormat="1" ht="15" customHeight="1">
      <c r="A433" s="142" t="s">
        <v>322</v>
      </c>
      <c r="B433" s="115"/>
      <c r="C433" s="115"/>
      <c r="D433" s="115">
        <v>800000000</v>
      </c>
      <c r="E433" s="115"/>
      <c r="F433" s="115"/>
      <c r="G433" s="102" t="s">
        <v>532</v>
      </c>
      <c r="H433" s="118">
        <f t="shared" si="31"/>
        <v>148192.91999999998</v>
      </c>
      <c r="I433" s="125">
        <f>125152.92+23040</f>
        <v>148192.91999999998</v>
      </c>
      <c r="J433" s="125"/>
      <c r="K433" s="113"/>
      <c r="L433" s="113"/>
      <c r="M433" s="113"/>
      <c r="N433" s="113"/>
    </row>
    <row r="434" spans="1:14" s="8" customFormat="1" ht="15" customHeight="1">
      <c r="A434" s="142" t="s">
        <v>322</v>
      </c>
      <c r="B434" s="487"/>
      <c r="C434" s="487">
        <v>223</v>
      </c>
      <c r="D434" s="489">
        <v>800000000</v>
      </c>
      <c r="E434" s="487">
        <v>244</v>
      </c>
      <c r="F434" s="487">
        <v>223</v>
      </c>
      <c r="G434" s="493" t="s">
        <v>825</v>
      </c>
      <c r="H434" s="491">
        <f>I434+J434+K434+L434+M434+N434</f>
        <v>120960</v>
      </c>
      <c r="I434" s="486">
        <v>120960</v>
      </c>
      <c r="J434" s="125"/>
      <c r="K434" s="113"/>
      <c r="L434" s="113"/>
      <c r="M434" s="113"/>
      <c r="N434" s="113"/>
    </row>
    <row r="435" spans="1:14" s="8" customFormat="1" ht="15" customHeight="1">
      <c r="A435" s="142" t="s">
        <v>322</v>
      </c>
      <c r="B435" s="487"/>
      <c r="C435" s="487">
        <v>223</v>
      </c>
      <c r="D435" s="489">
        <v>800000000</v>
      </c>
      <c r="E435" s="487">
        <v>244</v>
      </c>
      <c r="F435" s="487">
        <v>223</v>
      </c>
      <c r="G435" s="494" t="s">
        <v>532</v>
      </c>
      <c r="H435" s="491">
        <f>I435+J435+K435+L435+M435+N435</f>
        <v>0</v>
      </c>
      <c r="I435" s="486"/>
      <c r="J435" s="125"/>
      <c r="K435" s="113"/>
      <c r="L435" s="113"/>
      <c r="M435" s="113"/>
      <c r="N435" s="113"/>
    </row>
    <row r="436" spans="1:14" s="8" customFormat="1" ht="15" customHeight="1">
      <c r="A436" s="142" t="s">
        <v>319</v>
      </c>
      <c r="B436" s="115"/>
      <c r="C436" s="115"/>
      <c r="D436" s="116" t="s">
        <v>521</v>
      </c>
      <c r="E436" s="115"/>
      <c r="F436" s="115"/>
      <c r="G436" s="102" t="s">
        <v>533</v>
      </c>
      <c r="H436" s="118">
        <f t="shared" si="31"/>
        <v>71801.35</v>
      </c>
      <c r="I436" s="125">
        <v>0</v>
      </c>
      <c r="J436" s="125"/>
      <c r="K436" s="113"/>
      <c r="L436" s="113"/>
      <c r="M436" s="113">
        <f>9301.35+62500</f>
        <v>71801.35</v>
      </c>
      <c r="N436" s="113"/>
    </row>
    <row r="437" spans="1:14" s="8" customFormat="1" ht="15" customHeight="1" hidden="1">
      <c r="A437" s="142" t="s">
        <v>319</v>
      </c>
      <c r="B437" s="487"/>
      <c r="C437" s="487">
        <v>223</v>
      </c>
      <c r="D437" s="488" t="s">
        <v>521</v>
      </c>
      <c r="E437" s="487">
        <v>244</v>
      </c>
      <c r="F437" s="487">
        <v>223</v>
      </c>
      <c r="G437" s="494" t="s">
        <v>533</v>
      </c>
      <c r="H437" s="491">
        <f>I437+J437+K437+L437+M437+N437</f>
        <v>0</v>
      </c>
      <c r="I437" s="485">
        <v>0</v>
      </c>
      <c r="J437" s="485">
        <v>0</v>
      </c>
      <c r="K437" s="499">
        <v>0</v>
      </c>
      <c r="L437" s="499">
        <v>0</v>
      </c>
      <c r="M437" s="497"/>
      <c r="N437" s="113"/>
    </row>
    <row r="438" spans="1:14" s="8" customFormat="1" ht="15" customHeight="1">
      <c r="A438" s="142" t="s">
        <v>321</v>
      </c>
      <c r="B438" s="115"/>
      <c r="C438" s="115"/>
      <c r="D438" s="116" t="s">
        <v>521</v>
      </c>
      <c r="E438" s="115"/>
      <c r="F438" s="115"/>
      <c r="G438" s="102" t="s">
        <v>533</v>
      </c>
      <c r="H438" s="118">
        <f t="shared" si="31"/>
        <v>175138.88</v>
      </c>
      <c r="I438" s="125">
        <v>0</v>
      </c>
      <c r="J438" s="125"/>
      <c r="K438" s="113"/>
      <c r="L438" s="113"/>
      <c r="M438" s="113">
        <f>143362.88+31776</f>
        <v>175138.88</v>
      </c>
      <c r="N438" s="113"/>
    </row>
    <row r="439" spans="1:14" s="8" customFormat="1" ht="15" customHeight="1" hidden="1">
      <c r="A439" s="142" t="s">
        <v>321</v>
      </c>
      <c r="B439" s="487"/>
      <c r="C439" s="487">
        <v>223</v>
      </c>
      <c r="D439" s="488" t="s">
        <v>521</v>
      </c>
      <c r="E439" s="487">
        <v>244</v>
      </c>
      <c r="F439" s="487">
        <v>223</v>
      </c>
      <c r="G439" s="494" t="s">
        <v>533</v>
      </c>
      <c r="H439" s="491">
        <f>I439+J439+K439+L439+M439+N439</f>
        <v>0</v>
      </c>
      <c r="I439" s="485">
        <v>0</v>
      </c>
      <c r="J439" s="485">
        <v>0</v>
      </c>
      <c r="K439" s="499">
        <v>0</v>
      </c>
      <c r="L439" s="499">
        <v>0</v>
      </c>
      <c r="M439" s="497"/>
      <c r="N439" s="113"/>
    </row>
    <row r="440" spans="1:14" s="8" customFormat="1" ht="15" customHeight="1">
      <c r="A440" s="142" t="s">
        <v>322</v>
      </c>
      <c r="B440" s="115"/>
      <c r="C440" s="115"/>
      <c r="D440" s="116" t="s">
        <v>521</v>
      </c>
      <c r="E440" s="115"/>
      <c r="F440" s="115"/>
      <c r="G440" s="102" t="s">
        <v>533</v>
      </c>
      <c r="H440" s="118">
        <f t="shared" si="31"/>
        <v>58537.24</v>
      </c>
      <c r="I440" s="125">
        <v>0</v>
      </c>
      <c r="J440" s="125"/>
      <c r="K440" s="113"/>
      <c r="L440" s="113"/>
      <c r="M440" s="113">
        <f>42537.24+16000</f>
        <v>58537.24</v>
      </c>
      <c r="N440" s="113"/>
    </row>
    <row r="441" spans="1:14" s="8" customFormat="1" ht="15" customHeight="1" hidden="1">
      <c r="A441" s="142" t="s">
        <v>322</v>
      </c>
      <c r="B441" s="487"/>
      <c r="C441" s="487">
        <v>223</v>
      </c>
      <c r="D441" s="488" t="s">
        <v>521</v>
      </c>
      <c r="E441" s="487">
        <v>244</v>
      </c>
      <c r="F441" s="487">
        <v>223</v>
      </c>
      <c r="G441" s="494" t="s">
        <v>533</v>
      </c>
      <c r="H441" s="491">
        <f>I441+J441+K441+L441+M441+N441</f>
        <v>0</v>
      </c>
      <c r="I441" s="485">
        <v>0</v>
      </c>
      <c r="J441" s="485">
        <v>0</v>
      </c>
      <c r="K441" s="499">
        <v>0</v>
      </c>
      <c r="L441" s="499">
        <v>0</v>
      </c>
      <c r="M441" s="497"/>
      <c r="N441" s="113"/>
    </row>
    <row r="442" spans="1:14" s="8" customFormat="1" ht="15" customHeight="1">
      <c r="A442" s="142" t="s">
        <v>323</v>
      </c>
      <c r="B442" s="115"/>
      <c r="C442" s="115">
        <v>224</v>
      </c>
      <c r="D442" s="115"/>
      <c r="E442" s="115"/>
      <c r="F442" s="115">
        <v>224</v>
      </c>
      <c r="G442" s="122"/>
      <c r="H442" s="118">
        <f t="shared" si="31"/>
        <v>0</v>
      </c>
      <c r="I442" s="125">
        <v>0</v>
      </c>
      <c r="J442" s="125"/>
      <c r="K442" s="113"/>
      <c r="L442" s="113"/>
      <c r="M442" s="113"/>
      <c r="N442" s="113"/>
    </row>
    <row r="443" spans="1:14" s="8" customFormat="1" ht="15" customHeight="1">
      <c r="A443" s="142" t="s">
        <v>324</v>
      </c>
      <c r="B443" s="115"/>
      <c r="C443" s="115">
        <v>225</v>
      </c>
      <c r="D443" s="115">
        <v>800000000</v>
      </c>
      <c r="E443" s="115"/>
      <c r="F443" s="115">
        <v>225</v>
      </c>
      <c r="G443" s="102" t="s">
        <v>531</v>
      </c>
      <c r="H443" s="118">
        <f t="shared" si="31"/>
        <v>132945.86</v>
      </c>
      <c r="I443" s="125">
        <v>132945.86</v>
      </c>
      <c r="J443" s="125"/>
      <c r="K443" s="113"/>
      <c r="L443" s="113"/>
      <c r="M443" s="113"/>
      <c r="N443" s="113"/>
    </row>
    <row r="444" spans="1:14" s="8" customFormat="1" ht="15" customHeight="1">
      <c r="A444" s="142" t="s">
        <v>324</v>
      </c>
      <c r="B444" s="115"/>
      <c r="C444" s="115">
        <v>225</v>
      </c>
      <c r="D444" s="115">
        <v>800000000</v>
      </c>
      <c r="E444" s="115"/>
      <c r="F444" s="115">
        <v>225</v>
      </c>
      <c r="G444" s="102" t="s">
        <v>532</v>
      </c>
      <c r="H444" s="118">
        <f t="shared" si="31"/>
        <v>2352681.11</v>
      </c>
      <c r="I444" s="125">
        <f>2200842.68+69364.53+82473.9</f>
        <v>2352681.11</v>
      </c>
      <c r="J444" s="125"/>
      <c r="K444" s="113"/>
      <c r="L444" s="113"/>
      <c r="M444" s="113"/>
      <c r="N444" s="113"/>
    </row>
    <row r="445" spans="1:14" s="8" customFormat="1" ht="15" customHeight="1">
      <c r="A445" s="142" t="s">
        <v>324</v>
      </c>
      <c r="B445" s="487"/>
      <c r="C445" s="487">
        <v>225</v>
      </c>
      <c r="D445" s="489">
        <v>800000000</v>
      </c>
      <c r="E445" s="487">
        <v>244</v>
      </c>
      <c r="F445" s="487">
        <v>225</v>
      </c>
      <c r="G445" s="493" t="s">
        <v>825</v>
      </c>
      <c r="H445" s="491">
        <f>I445+J445+K445+L445+M445+N445</f>
        <v>432987.99</v>
      </c>
      <c r="I445" s="486">
        <v>432987.99</v>
      </c>
      <c r="J445" s="125"/>
      <c r="K445" s="113"/>
      <c r="L445" s="113"/>
      <c r="M445" s="113"/>
      <c r="N445" s="113"/>
    </row>
    <row r="446" spans="1:14" s="8" customFormat="1" ht="15" customHeight="1">
      <c r="A446" s="142" t="s">
        <v>324</v>
      </c>
      <c r="B446" s="487"/>
      <c r="C446" s="487">
        <v>225</v>
      </c>
      <c r="D446" s="489">
        <v>800000000</v>
      </c>
      <c r="E446" s="487">
        <v>244</v>
      </c>
      <c r="F446" s="487">
        <v>225</v>
      </c>
      <c r="G446" s="494" t="s">
        <v>532</v>
      </c>
      <c r="H446" s="491">
        <f>I446+J446+K446+L446+M446+N446</f>
        <v>0</v>
      </c>
      <c r="I446" s="486"/>
      <c r="J446" s="125"/>
      <c r="K446" s="113"/>
      <c r="L446" s="113"/>
      <c r="M446" s="113"/>
      <c r="N446" s="113"/>
    </row>
    <row r="447" spans="1:14" s="8" customFormat="1" ht="15" customHeight="1">
      <c r="A447" s="142" t="s">
        <v>324</v>
      </c>
      <c r="B447" s="115"/>
      <c r="C447" s="115">
        <v>225</v>
      </c>
      <c r="D447" s="116" t="s">
        <v>521</v>
      </c>
      <c r="E447" s="115"/>
      <c r="F447" s="115">
        <v>225</v>
      </c>
      <c r="G447" s="102" t="s">
        <v>533</v>
      </c>
      <c r="H447" s="118">
        <f t="shared" si="31"/>
        <v>2930347.3499999996</v>
      </c>
      <c r="I447" s="125">
        <v>0</v>
      </c>
      <c r="J447" s="125"/>
      <c r="K447" s="113"/>
      <c r="L447" s="113"/>
      <c r="M447" s="113">
        <f>2600998.63+33943.32+295405.4</f>
        <v>2930347.3499999996</v>
      </c>
      <c r="N447" s="113"/>
    </row>
    <row r="448" spans="1:14" s="8" customFormat="1" ht="15" customHeight="1">
      <c r="A448" s="142" t="s">
        <v>324</v>
      </c>
      <c r="B448" s="487"/>
      <c r="C448" s="487">
        <v>225</v>
      </c>
      <c r="D448" s="488" t="s">
        <v>521</v>
      </c>
      <c r="E448" s="487">
        <v>244</v>
      </c>
      <c r="F448" s="487">
        <v>225</v>
      </c>
      <c r="G448" s="494" t="s">
        <v>533</v>
      </c>
      <c r="H448" s="491">
        <f>I448+J448+K448+L448+M448+N448</f>
        <v>0</v>
      </c>
      <c r="I448" s="485">
        <v>0</v>
      </c>
      <c r="J448" s="485">
        <v>0</v>
      </c>
      <c r="K448" s="499">
        <v>0</v>
      </c>
      <c r="L448" s="499">
        <v>0</v>
      </c>
      <c r="M448" s="497"/>
      <c r="N448" s="113"/>
    </row>
    <row r="449" spans="1:14" s="8" customFormat="1" ht="15" customHeight="1">
      <c r="A449" s="142" t="s">
        <v>325</v>
      </c>
      <c r="B449" s="115"/>
      <c r="C449" s="115">
        <v>310</v>
      </c>
      <c r="D449" s="115">
        <v>800000000</v>
      </c>
      <c r="E449" s="115"/>
      <c r="F449" s="115">
        <v>310</v>
      </c>
      <c r="G449" s="102" t="s">
        <v>531</v>
      </c>
      <c r="H449" s="118">
        <f t="shared" si="31"/>
        <v>511217</v>
      </c>
      <c r="I449" s="125">
        <f>450000+61217</f>
        <v>511217</v>
      </c>
      <c r="J449" s="125"/>
      <c r="K449" s="113"/>
      <c r="L449" s="113"/>
      <c r="M449" s="113"/>
      <c r="N449" s="113"/>
    </row>
    <row r="450" spans="1:14" s="8" customFormat="1" ht="15" customHeight="1">
      <c r="A450" s="142" t="s">
        <v>325</v>
      </c>
      <c r="B450" s="115"/>
      <c r="C450" s="115">
        <v>310</v>
      </c>
      <c r="D450" s="115">
        <v>800000000</v>
      </c>
      <c r="E450" s="115"/>
      <c r="F450" s="115">
        <v>310</v>
      </c>
      <c r="G450" s="102" t="s">
        <v>532</v>
      </c>
      <c r="H450" s="118">
        <f t="shared" si="31"/>
        <v>262999.9</v>
      </c>
      <c r="I450" s="125">
        <v>262999.9</v>
      </c>
      <c r="J450" s="125"/>
      <c r="K450" s="113"/>
      <c r="L450" s="113"/>
      <c r="M450" s="113"/>
      <c r="N450" s="113"/>
    </row>
    <row r="451" spans="1:14" s="8" customFormat="1" ht="15" customHeight="1">
      <c r="A451" s="142" t="s">
        <v>325</v>
      </c>
      <c r="B451" s="487"/>
      <c r="C451" s="487">
        <v>310</v>
      </c>
      <c r="D451" s="489">
        <v>800000000</v>
      </c>
      <c r="E451" s="487">
        <v>244</v>
      </c>
      <c r="F451" s="487">
        <v>310</v>
      </c>
      <c r="G451" s="490" t="s">
        <v>535</v>
      </c>
      <c r="H451" s="491">
        <f>I451+J451+K451+L451+M451+N451</f>
        <v>194426</v>
      </c>
      <c r="I451" s="495">
        <v>194426</v>
      </c>
      <c r="J451" s="125"/>
      <c r="K451" s="113"/>
      <c r="L451" s="113"/>
      <c r="M451" s="113"/>
      <c r="N451" s="113"/>
    </row>
    <row r="452" spans="1:14" s="8" customFormat="1" ht="15" customHeight="1">
      <c r="A452" s="142" t="s">
        <v>325</v>
      </c>
      <c r="B452" s="487"/>
      <c r="C452" s="487">
        <v>310</v>
      </c>
      <c r="D452" s="489">
        <v>800000000</v>
      </c>
      <c r="E452" s="487">
        <v>244</v>
      </c>
      <c r="F452" s="487">
        <v>310</v>
      </c>
      <c r="G452" s="490" t="s">
        <v>531</v>
      </c>
      <c r="H452" s="491">
        <f>I452+J452+K452+L452+M452+N452</f>
        <v>0</v>
      </c>
      <c r="I452" s="486"/>
      <c r="J452" s="125"/>
      <c r="K452" s="113"/>
      <c r="L452" s="113"/>
      <c r="M452" s="113"/>
      <c r="N452" s="113"/>
    </row>
    <row r="453" spans="1:14" s="8" customFormat="1" ht="15" customHeight="1">
      <c r="A453" s="142" t="s">
        <v>325</v>
      </c>
      <c r="B453" s="115"/>
      <c r="C453" s="115">
        <v>310</v>
      </c>
      <c r="D453" s="116" t="s">
        <v>521</v>
      </c>
      <c r="E453" s="115"/>
      <c r="F453" s="115">
        <v>310</v>
      </c>
      <c r="G453" s="102" t="s">
        <v>533</v>
      </c>
      <c r="H453" s="118">
        <f t="shared" si="31"/>
        <v>204248</v>
      </c>
      <c r="I453" s="125">
        <v>0</v>
      </c>
      <c r="J453" s="125"/>
      <c r="K453" s="113"/>
      <c r="L453" s="113"/>
      <c r="M453" s="113">
        <f>104248+100000</f>
        <v>204248</v>
      </c>
      <c r="N453" s="113"/>
    </row>
    <row r="454" spans="1:14" s="8" customFormat="1" ht="15" customHeight="1" hidden="1">
      <c r="A454" s="142" t="s">
        <v>325</v>
      </c>
      <c r="B454" s="487"/>
      <c r="C454" s="487">
        <v>310</v>
      </c>
      <c r="D454" s="488" t="s">
        <v>521</v>
      </c>
      <c r="E454" s="487">
        <v>244</v>
      </c>
      <c r="F454" s="487">
        <v>310</v>
      </c>
      <c r="G454" s="494" t="s">
        <v>533</v>
      </c>
      <c r="H454" s="491">
        <f>I454+J454+K454+L454+M454+N454</f>
        <v>0</v>
      </c>
      <c r="I454" s="485">
        <v>0</v>
      </c>
      <c r="J454" s="485">
        <v>0</v>
      </c>
      <c r="K454" s="499">
        <v>0</v>
      </c>
      <c r="L454" s="499">
        <v>0</v>
      </c>
      <c r="M454" s="497"/>
      <c r="N454" s="113"/>
    </row>
    <row r="455" spans="1:14" s="8" customFormat="1" ht="15" customHeight="1">
      <c r="A455" s="142" t="s">
        <v>326</v>
      </c>
      <c r="B455" s="115"/>
      <c r="C455" s="115">
        <v>320</v>
      </c>
      <c r="D455" s="115"/>
      <c r="E455" s="115"/>
      <c r="F455" s="115">
        <v>320</v>
      </c>
      <c r="G455" s="122"/>
      <c r="H455" s="118">
        <f t="shared" si="31"/>
        <v>0</v>
      </c>
      <c r="I455" s="125">
        <v>0</v>
      </c>
      <c r="J455" s="125"/>
      <c r="K455" s="113"/>
      <c r="L455" s="113"/>
      <c r="M455" s="113"/>
      <c r="N455" s="113"/>
    </row>
    <row r="456" spans="1:14" s="8" customFormat="1" ht="15" customHeight="1">
      <c r="A456" s="142" t="s">
        <v>327</v>
      </c>
      <c r="B456" s="115"/>
      <c r="C456" s="115">
        <v>340</v>
      </c>
      <c r="D456" s="115"/>
      <c r="E456" s="115"/>
      <c r="F456" s="115">
        <v>340</v>
      </c>
      <c r="G456" s="122"/>
      <c r="H456" s="118">
        <f t="shared" si="31"/>
        <v>5014408.15</v>
      </c>
      <c r="I456" s="125">
        <f>I457+I458+I459+I460+I462+I463+I464</f>
        <v>654364.15</v>
      </c>
      <c r="J456" s="125">
        <f>J457+J458+J459+J460+J462</f>
        <v>0</v>
      </c>
      <c r="K456" s="125">
        <f>K457+K458+K459+K460+K462</f>
        <v>0</v>
      </c>
      <c r="L456" s="125">
        <f>L457+L458+L459+L460+L462</f>
        <v>0</v>
      </c>
      <c r="M456" s="125">
        <f>M457+M458+M459+M460++M461+M465+M466</f>
        <v>4360044</v>
      </c>
      <c r="N456" s="125">
        <f>N457+N458+N459+N460+N462</f>
        <v>0</v>
      </c>
    </row>
    <row r="457" spans="1:14" s="8" customFormat="1" ht="15" customHeight="1">
      <c r="A457" s="142" t="s">
        <v>4</v>
      </c>
      <c r="B457" s="115"/>
      <c r="C457" s="115"/>
      <c r="D457" s="115"/>
      <c r="E457" s="115"/>
      <c r="F457" s="115"/>
      <c r="G457" s="122"/>
      <c r="H457" s="118"/>
      <c r="I457" s="125"/>
      <c r="J457" s="125"/>
      <c r="K457" s="113"/>
      <c r="L457" s="113"/>
      <c r="M457" s="113"/>
      <c r="N457" s="113"/>
    </row>
    <row r="458" spans="1:14" s="8" customFormat="1" ht="15" customHeight="1">
      <c r="A458" s="142" t="s">
        <v>328</v>
      </c>
      <c r="B458" s="487"/>
      <c r="C458" s="487">
        <v>340</v>
      </c>
      <c r="D458" s="489">
        <v>800000000</v>
      </c>
      <c r="E458" s="487">
        <v>244</v>
      </c>
      <c r="F458" s="487">
        <v>341</v>
      </c>
      <c r="G458" s="493" t="s">
        <v>825</v>
      </c>
      <c r="H458" s="491">
        <f aca="true" t="shared" si="32" ref="H458:H466">I458+J458+K458+L458+M458+N458</f>
        <v>7000</v>
      </c>
      <c r="I458" s="486">
        <v>7000</v>
      </c>
      <c r="J458" s="125"/>
      <c r="K458" s="113"/>
      <c r="L458" s="113"/>
      <c r="M458" s="113"/>
      <c r="N458" s="113"/>
    </row>
    <row r="459" spans="1:14" s="8" customFormat="1" ht="15" customHeight="1">
      <c r="A459" s="142" t="s">
        <v>329</v>
      </c>
      <c r="B459" s="487"/>
      <c r="C459" s="487">
        <v>340</v>
      </c>
      <c r="D459" s="489">
        <v>800000000</v>
      </c>
      <c r="E459" s="487">
        <v>244</v>
      </c>
      <c r="F459" s="487">
        <v>342</v>
      </c>
      <c r="G459" s="493" t="s">
        <v>825</v>
      </c>
      <c r="H459" s="491">
        <f t="shared" si="32"/>
        <v>437421.05</v>
      </c>
      <c r="I459" s="486">
        <v>437421.05</v>
      </c>
      <c r="J459" s="125"/>
      <c r="K459" s="113"/>
      <c r="L459" s="113"/>
      <c r="M459" s="113"/>
      <c r="N459" s="113"/>
    </row>
    <row r="460" spans="1:14" s="8" customFormat="1" ht="15" customHeight="1">
      <c r="A460" s="142" t="s">
        <v>330</v>
      </c>
      <c r="B460" s="115"/>
      <c r="C460" s="115">
        <v>340</v>
      </c>
      <c r="D460" s="115">
        <v>800000000</v>
      </c>
      <c r="E460" s="115">
        <v>244</v>
      </c>
      <c r="F460" s="115">
        <v>346</v>
      </c>
      <c r="G460" s="102" t="s">
        <v>532</v>
      </c>
      <c r="H460" s="118">
        <f t="shared" si="32"/>
        <v>200597.04</v>
      </c>
      <c r="I460" s="125">
        <f>124943.1+75653.94</f>
        <v>200597.04</v>
      </c>
      <c r="J460" s="125"/>
      <c r="K460" s="113"/>
      <c r="L460" s="113"/>
      <c r="M460" s="113"/>
      <c r="N460" s="113"/>
    </row>
    <row r="461" spans="1:14" s="8" customFormat="1" ht="15" customHeight="1">
      <c r="A461" s="142" t="s">
        <v>329</v>
      </c>
      <c r="B461" s="487"/>
      <c r="C461" s="487">
        <v>340</v>
      </c>
      <c r="D461" s="488" t="s">
        <v>521</v>
      </c>
      <c r="E461" s="487">
        <v>244</v>
      </c>
      <c r="F461" s="487">
        <v>342</v>
      </c>
      <c r="G461" s="494" t="s">
        <v>533</v>
      </c>
      <c r="H461" s="491">
        <f t="shared" si="32"/>
        <v>4230044</v>
      </c>
      <c r="I461" s="485">
        <v>0</v>
      </c>
      <c r="J461" s="485">
        <v>0</v>
      </c>
      <c r="K461" s="499">
        <v>0</v>
      </c>
      <c r="L461" s="499">
        <v>0</v>
      </c>
      <c r="M461" s="496">
        <v>4230044</v>
      </c>
      <c r="N461" s="113"/>
    </row>
    <row r="462" spans="1:14" s="8" customFormat="1" ht="15" customHeight="1">
      <c r="A462" s="142" t="s">
        <v>331</v>
      </c>
      <c r="B462" s="115"/>
      <c r="C462" s="115"/>
      <c r="D462" s="115"/>
      <c r="E462" s="115"/>
      <c r="F462" s="115"/>
      <c r="G462" s="122"/>
      <c r="H462" s="118">
        <f t="shared" si="32"/>
        <v>0</v>
      </c>
      <c r="I462" s="125">
        <v>0</v>
      </c>
      <c r="J462" s="125"/>
      <c r="K462" s="113"/>
      <c r="L462" s="113"/>
      <c r="M462" s="113"/>
      <c r="N462" s="113"/>
    </row>
    <row r="463" spans="1:14" s="8" customFormat="1" ht="15" customHeight="1">
      <c r="A463" s="142" t="s">
        <v>330</v>
      </c>
      <c r="B463" s="487"/>
      <c r="C463" s="487">
        <v>340</v>
      </c>
      <c r="D463" s="489">
        <v>800000000</v>
      </c>
      <c r="E463" s="487">
        <v>244</v>
      </c>
      <c r="F463" s="487">
        <v>346</v>
      </c>
      <c r="G463" s="493" t="s">
        <v>825</v>
      </c>
      <c r="H463" s="491">
        <f t="shared" si="32"/>
        <v>9346.06</v>
      </c>
      <c r="I463" s="486">
        <v>9346.06</v>
      </c>
      <c r="J463" s="125"/>
      <c r="K463" s="113"/>
      <c r="L463" s="113"/>
      <c r="M463" s="113"/>
      <c r="N463" s="113"/>
    </row>
    <row r="464" spans="1:14" s="8" customFormat="1" ht="15" customHeight="1" hidden="1">
      <c r="A464" s="142" t="s">
        <v>330</v>
      </c>
      <c r="B464" s="487"/>
      <c r="C464" s="487">
        <v>340</v>
      </c>
      <c r="D464" s="489">
        <v>800000000</v>
      </c>
      <c r="E464" s="487">
        <v>244</v>
      </c>
      <c r="F464" s="487">
        <v>346</v>
      </c>
      <c r="G464" s="494" t="s">
        <v>532</v>
      </c>
      <c r="H464" s="491">
        <f t="shared" si="32"/>
        <v>0</v>
      </c>
      <c r="I464" s="486"/>
      <c r="J464" s="125"/>
      <c r="K464" s="113"/>
      <c r="L464" s="113"/>
      <c r="M464" s="113"/>
      <c r="N464" s="113"/>
    </row>
    <row r="465" spans="1:14" s="8" customFormat="1" ht="15" customHeight="1">
      <c r="A465" s="142" t="s">
        <v>846</v>
      </c>
      <c r="B465" s="487"/>
      <c r="C465" s="487">
        <v>340</v>
      </c>
      <c r="D465" s="488" t="s">
        <v>521</v>
      </c>
      <c r="E465" s="487">
        <v>244</v>
      </c>
      <c r="F465" s="487">
        <v>345</v>
      </c>
      <c r="G465" s="494" t="s">
        <v>533</v>
      </c>
      <c r="H465" s="491">
        <f t="shared" si="32"/>
        <v>100000</v>
      </c>
      <c r="I465" s="485">
        <v>0</v>
      </c>
      <c r="J465" s="485">
        <v>0</v>
      </c>
      <c r="K465" s="499">
        <v>0</v>
      </c>
      <c r="L465" s="499">
        <v>0</v>
      </c>
      <c r="M465" s="496">
        <v>100000</v>
      </c>
      <c r="N465" s="113"/>
    </row>
    <row r="466" spans="1:14" s="8" customFormat="1" ht="15" customHeight="1">
      <c r="A466" s="142" t="s">
        <v>330</v>
      </c>
      <c r="B466" s="487"/>
      <c r="C466" s="487">
        <v>340</v>
      </c>
      <c r="D466" s="488" t="s">
        <v>521</v>
      </c>
      <c r="E466" s="487">
        <v>244</v>
      </c>
      <c r="F466" s="487">
        <v>346</v>
      </c>
      <c r="G466" s="494" t="s">
        <v>533</v>
      </c>
      <c r="H466" s="491">
        <f t="shared" si="32"/>
        <v>30000</v>
      </c>
      <c r="I466" s="485">
        <v>0</v>
      </c>
      <c r="J466" s="485">
        <v>0</v>
      </c>
      <c r="K466" s="499">
        <v>0</v>
      </c>
      <c r="L466" s="499">
        <v>0</v>
      </c>
      <c r="M466" s="496">
        <v>30000</v>
      </c>
      <c r="N466" s="113"/>
    </row>
    <row r="467" spans="1:14" s="8" customFormat="1" ht="17.25" customHeight="1">
      <c r="A467" s="142" t="s">
        <v>332</v>
      </c>
      <c r="B467" s="115"/>
      <c r="C467" s="115">
        <v>530</v>
      </c>
      <c r="D467" s="115"/>
      <c r="E467" s="115">
        <v>465</v>
      </c>
      <c r="F467" s="115">
        <v>530</v>
      </c>
      <c r="G467" s="122"/>
      <c r="H467" s="118"/>
      <c r="I467" s="125"/>
      <c r="J467" s="125"/>
      <c r="K467" s="113"/>
      <c r="L467" s="113"/>
      <c r="M467" s="113"/>
      <c r="N467" s="113"/>
    </row>
    <row r="468" spans="1:14" s="8" customFormat="1" ht="17.25" customHeight="1">
      <c r="A468" s="142" t="s">
        <v>333</v>
      </c>
      <c r="B468" s="115"/>
      <c r="C468" s="115">
        <v>226</v>
      </c>
      <c r="D468" s="115">
        <v>800000000</v>
      </c>
      <c r="E468" s="115">
        <v>244</v>
      </c>
      <c r="F468" s="115">
        <v>226</v>
      </c>
      <c r="G468" s="122"/>
      <c r="H468" s="118">
        <f>I468+J468+K468+L468+M468+N468</f>
        <v>1235315.9</v>
      </c>
      <c r="I468" s="125">
        <f>SUM(I470:I478)</f>
        <v>1235315.9</v>
      </c>
      <c r="J468" s="125">
        <f>J470+J471+J472</f>
        <v>0</v>
      </c>
      <c r="K468" s="125">
        <f>K470+K471+K472</f>
        <v>0</v>
      </c>
      <c r="L468" s="125">
        <f>L470+L471+L472</f>
        <v>0</v>
      </c>
      <c r="M468" s="125">
        <f>M470+M471+M472</f>
        <v>0</v>
      </c>
      <c r="N468" s="125">
        <f>N470+N471+N472</f>
        <v>0</v>
      </c>
    </row>
    <row r="469" spans="1:14" s="8" customFormat="1" ht="17.25" customHeight="1">
      <c r="A469" s="142" t="s">
        <v>4</v>
      </c>
      <c r="B469" s="115"/>
      <c r="C469" s="115"/>
      <c r="D469" s="115"/>
      <c r="E469" s="115"/>
      <c r="F469" s="115"/>
      <c r="G469" s="122"/>
      <c r="H469" s="118"/>
      <c r="I469" s="125"/>
      <c r="J469" s="125"/>
      <c r="K469" s="113"/>
      <c r="L469" s="113"/>
      <c r="M469" s="113"/>
      <c r="N469" s="113"/>
    </row>
    <row r="470" spans="1:14" s="8" customFormat="1" ht="17.25" customHeight="1">
      <c r="A470" s="142" t="s">
        <v>334</v>
      </c>
      <c r="B470" s="115"/>
      <c r="C470" s="115"/>
      <c r="D470" s="115"/>
      <c r="E470" s="115"/>
      <c r="F470" s="115"/>
      <c r="G470" s="122"/>
      <c r="H470" s="118">
        <f aca="true" t="shared" si="33" ref="H470:H481">I470+J470+K470+L470+M470+N470</f>
        <v>0</v>
      </c>
      <c r="I470" s="125"/>
      <c r="J470" s="125"/>
      <c r="K470" s="113"/>
      <c r="L470" s="113"/>
      <c r="M470" s="113"/>
      <c r="N470" s="113"/>
    </row>
    <row r="471" spans="1:14" s="8" customFormat="1" ht="28.5" customHeight="1">
      <c r="A471" s="142" t="s">
        <v>335</v>
      </c>
      <c r="B471" s="115"/>
      <c r="C471" s="115"/>
      <c r="D471" s="115"/>
      <c r="E471" s="115"/>
      <c r="F471" s="115"/>
      <c r="G471" s="122"/>
      <c r="H471" s="118">
        <f t="shared" si="33"/>
        <v>0</v>
      </c>
      <c r="I471" s="125"/>
      <c r="J471" s="125"/>
      <c r="K471" s="113"/>
      <c r="L471" s="113"/>
      <c r="M471" s="113"/>
      <c r="N471" s="113"/>
    </row>
    <row r="472" spans="1:14" s="8" customFormat="1" ht="17.25" customHeight="1">
      <c r="A472" s="142" t="s">
        <v>336</v>
      </c>
      <c r="B472" s="115"/>
      <c r="C472" s="115">
        <v>226</v>
      </c>
      <c r="D472" s="115">
        <v>800000000</v>
      </c>
      <c r="E472" s="115">
        <v>244</v>
      </c>
      <c r="F472" s="115">
        <v>226</v>
      </c>
      <c r="G472" s="102" t="s">
        <v>531</v>
      </c>
      <c r="H472" s="118">
        <f t="shared" si="33"/>
        <v>105269</v>
      </c>
      <c r="I472" s="125">
        <f>101269+4000</f>
        <v>105269</v>
      </c>
      <c r="J472" s="125"/>
      <c r="K472" s="113"/>
      <c r="L472" s="113"/>
      <c r="M472" s="113"/>
      <c r="N472" s="113"/>
    </row>
    <row r="473" spans="1:14" s="8" customFormat="1" ht="17.25" customHeight="1">
      <c r="A473" s="142" t="s">
        <v>336</v>
      </c>
      <c r="B473" s="115"/>
      <c r="C473" s="115">
        <v>226</v>
      </c>
      <c r="D473" s="115">
        <v>800000000</v>
      </c>
      <c r="E473" s="115">
        <v>244</v>
      </c>
      <c r="F473" s="115">
        <v>226</v>
      </c>
      <c r="G473" s="102" t="s">
        <v>532</v>
      </c>
      <c r="H473" s="118">
        <f t="shared" si="33"/>
        <v>351045.33999999997</v>
      </c>
      <c r="I473" s="125">
        <f>204187.9+146857.44</f>
        <v>351045.33999999997</v>
      </c>
      <c r="J473" s="125"/>
      <c r="K473" s="113"/>
      <c r="L473" s="113"/>
      <c r="M473" s="113"/>
      <c r="N473" s="113"/>
    </row>
    <row r="474" spans="1:14" s="8" customFormat="1" ht="17.25" customHeight="1" hidden="1">
      <c r="A474" s="142" t="s">
        <v>335</v>
      </c>
      <c r="B474" s="487"/>
      <c r="C474" s="489">
        <v>226</v>
      </c>
      <c r="D474" s="489">
        <v>800000000</v>
      </c>
      <c r="E474" s="489">
        <v>244</v>
      </c>
      <c r="F474" s="489">
        <v>226</v>
      </c>
      <c r="G474" s="493" t="s">
        <v>825</v>
      </c>
      <c r="H474" s="491">
        <f t="shared" si="33"/>
        <v>0</v>
      </c>
      <c r="I474" s="486"/>
      <c r="J474" s="125"/>
      <c r="K474" s="113"/>
      <c r="L474" s="113"/>
      <c r="M474" s="113"/>
      <c r="N474" s="113"/>
    </row>
    <row r="475" spans="1:14" s="8" customFormat="1" ht="17.25" customHeight="1">
      <c r="A475" s="142" t="s">
        <v>336</v>
      </c>
      <c r="B475" s="487"/>
      <c r="C475" s="489">
        <v>226</v>
      </c>
      <c r="D475" s="489">
        <v>800000000</v>
      </c>
      <c r="E475" s="489">
        <v>244</v>
      </c>
      <c r="F475" s="489">
        <v>226</v>
      </c>
      <c r="G475" s="490" t="s">
        <v>535</v>
      </c>
      <c r="H475" s="491">
        <f>I475+J475+K475+L475+M475+N475</f>
        <v>8000</v>
      </c>
      <c r="I475" s="486">
        <v>8000</v>
      </c>
      <c r="J475" s="125"/>
      <c r="K475" s="113"/>
      <c r="L475" s="113"/>
      <c r="M475" s="113"/>
      <c r="N475" s="113"/>
    </row>
    <row r="476" spans="1:14" s="8" customFormat="1" ht="17.25" customHeight="1" hidden="1">
      <c r="A476" s="142" t="s">
        <v>336</v>
      </c>
      <c r="B476" s="487"/>
      <c r="C476" s="489">
        <v>226</v>
      </c>
      <c r="D476" s="489">
        <v>800000000</v>
      </c>
      <c r="E476" s="489">
        <v>244</v>
      </c>
      <c r="F476" s="489">
        <v>226</v>
      </c>
      <c r="G476" s="490" t="s">
        <v>531</v>
      </c>
      <c r="H476" s="491">
        <f t="shared" si="33"/>
        <v>0</v>
      </c>
      <c r="I476" s="486"/>
      <c r="J476" s="125"/>
      <c r="K476" s="113"/>
      <c r="L476" s="113"/>
      <c r="M476" s="113"/>
      <c r="N476" s="113"/>
    </row>
    <row r="477" spans="1:14" s="8" customFormat="1" ht="17.25" customHeight="1">
      <c r="A477" s="142" t="s">
        <v>336</v>
      </c>
      <c r="B477" s="487"/>
      <c r="C477" s="487">
        <v>226</v>
      </c>
      <c r="D477" s="489">
        <v>800000000</v>
      </c>
      <c r="E477" s="487">
        <v>244</v>
      </c>
      <c r="F477" s="487">
        <v>226</v>
      </c>
      <c r="G477" s="493" t="s">
        <v>825</v>
      </c>
      <c r="H477" s="491">
        <f t="shared" si="33"/>
        <v>771001.56</v>
      </c>
      <c r="I477" s="486">
        <f>768001.56+3000</f>
        <v>771001.56</v>
      </c>
      <c r="J477" s="125"/>
      <c r="K477" s="113"/>
      <c r="L477" s="113"/>
      <c r="M477" s="113"/>
      <c r="N477" s="113"/>
    </row>
    <row r="478" spans="1:14" s="8" customFormat="1" ht="17.25" customHeight="1" hidden="1">
      <c r="A478" s="142" t="s">
        <v>336</v>
      </c>
      <c r="B478" s="487"/>
      <c r="C478" s="487">
        <v>226</v>
      </c>
      <c r="D478" s="489">
        <v>800000000</v>
      </c>
      <c r="E478" s="487">
        <v>244</v>
      </c>
      <c r="F478" s="487">
        <v>226</v>
      </c>
      <c r="G478" s="494" t="s">
        <v>532</v>
      </c>
      <c r="H478" s="491">
        <f t="shared" si="33"/>
        <v>0</v>
      </c>
      <c r="I478" s="486"/>
      <c r="J478" s="125"/>
      <c r="K478" s="113"/>
      <c r="L478" s="113"/>
      <c r="M478" s="113"/>
      <c r="N478" s="113"/>
    </row>
    <row r="479" spans="1:14" s="8" customFormat="1" ht="17.25" customHeight="1">
      <c r="A479" s="142" t="s">
        <v>336</v>
      </c>
      <c r="B479" s="115"/>
      <c r="C479" s="115">
        <v>226</v>
      </c>
      <c r="D479" s="116" t="s">
        <v>521</v>
      </c>
      <c r="E479" s="115">
        <v>244</v>
      </c>
      <c r="F479" s="115">
        <v>226</v>
      </c>
      <c r="G479" s="102" t="s">
        <v>533</v>
      </c>
      <c r="H479" s="118">
        <f t="shared" si="33"/>
        <v>952014.58</v>
      </c>
      <c r="I479" s="125">
        <v>0</v>
      </c>
      <c r="J479" s="125"/>
      <c r="K479" s="113"/>
      <c r="L479" s="113"/>
      <c r="M479" s="113">
        <f>774014.58+178000</f>
        <v>952014.58</v>
      </c>
      <c r="N479" s="113"/>
    </row>
    <row r="480" spans="1:14" s="8" customFormat="1" ht="17.25" customHeight="1">
      <c r="A480" s="142" t="s">
        <v>336</v>
      </c>
      <c r="B480" s="487"/>
      <c r="C480" s="487">
        <v>226</v>
      </c>
      <c r="D480" s="488" t="s">
        <v>521</v>
      </c>
      <c r="E480" s="487"/>
      <c r="F480" s="487">
        <v>226</v>
      </c>
      <c r="G480" s="494" t="s">
        <v>533</v>
      </c>
      <c r="H480" s="491">
        <f t="shared" si="33"/>
        <v>0</v>
      </c>
      <c r="I480" s="485">
        <v>0</v>
      </c>
      <c r="J480" s="485">
        <v>0</v>
      </c>
      <c r="K480" s="499">
        <v>0</v>
      </c>
      <c r="L480" s="499">
        <v>0</v>
      </c>
      <c r="M480" s="497"/>
      <c r="N480" s="113"/>
    </row>
    <row r="481" spans="1:14" s="8" customFormat="1" ht="17.25" customHeight="1">
      <c r="A481" s="142" t="s">
        <v>400</v>
      </c>
      <c r="B481" s="115"/>
      <c r="C481" s="115">
        <v>296</v>
      </c>
      <c r="D481" s="115"/>
      <c r="E481" s="115">
        <v>244</v>
      </c>
      <c r="F481" s="115">
        <v>296</v>
      </c>
      <c r="G481" s="122"/>
      <c r="H481" s="118">
        <f t="shared" si="33"/>
        <v>0</v>
      </c>
      <c r="I481" s="125"/>
      <c r="J481" s="125"/>
      <c r="K481" s="113"/>
      <c r="L481" s="113"/>
      <c r="M481" s="113"/>
      <c r="N481" s="113"/>
    </row>
    <row r="482" spans="1:14" s="8" customFormat="1" ht="17.25" customHeight="1">
      <c r="A482" s="136" t="s">
        <v>53</v>
      </c>
      <c r="B482" s="115">
        <v>300</v>
      </c>
      <c r="C482" s="115" t="s">
        <v>10</v>
      </c>
      <c r="D482" s="115"/>
      <c r="E482" s="115"/>
      <c r="F482" s="115" t="s">
        <v>10</v>
      </c>
      <c r="G482" s="122"/>
      <c r="H482" s="118">
        <f>H484+H485</f>
        <v>0</v>
      </c>
      <c r="I482" s="125">
        <f aca="true" t="shared" si="34" ref="I482:N482">I484+I485</f>
        <v>0</v>
      </c>
      <c r="J482" s="125">
        <f t="shared" si="34"/>
        <v>0</v>
      </c>
      <c r="K482" s="125">
        <f t="shared" si="34"/>
        <v>0</v>
      </c>
      <c r="L482" s="125">
        <f t="shared" si="34"/>
        <v>0</v>
      </c>
      <c r="M482" s="125">
        <f t="shared" si="34"/>
        <v>0</v>
      </c>
      <c r="N482" s="125">
        <f t="shared" si="34"/>
        <v>0</v>
      </c>
    </row>
    <row r="483" spans="1:14" s="8" customFormat="1" ht="14.25" customHeight="1">
      <c r="A483" s="136" t="s">
        <v>3</v>
      </c>
      <c r="B483" s="115"/>
      <c r="C483" s="148"/>
      <c r="D483" s="115"/>
      <c r="E483" s="115"/>
      <c r="F483" s="148"/>
      <c r="G483" s="149"/>
      <c r="H483" s="118"/>
      <c r="I483" s="125"/>
      <c r="J483" s="125"/>
      <c r="K483" s="113"/>
      <c r="L483" s="113"/>
      <c r="M483" s="113"/>
      <c r="N483" s="113"/>
    </row>
    <row r="484" spans="1:14" s="8" customFormat="1" ht="16.5" customHeight="1">
      <c r="A484" s="136" t="s">
        <v>54</v>
      </c>
      <c r="B484" s="144">
        <v>310</v>
      </c>
      <c r="C484" s="150"/>
      <c r="D484" s="144"/>
      <c r="E484" s="144"/>
      <c r="F484" s="150"/>
      <c r="G484" s="151"/>
      <c r="H484" s="118">
        <f>I484+J484+K484+L484+M484+N484</f>
        <v>0</v>
      </c>
      <c r="I484" s="125"/>
      <c r="J484" s="125"/>
      <c r="K484" s="113"/>
      <c r="L484" s="113"/>
      <c r="M484" s="113"/>
      <c r="N484" s="113"/>
    </row>
    <row r="485" spans="1:14" s="152" customFormat="1" ht="15" customHeight="1">
      <c r="A485" s="136" t="s">
        <v>55</v>
      </c>
      <c r="B485" s="115">
        <v>320</v>
      </c>
      <c r="C485" s="115"/>
      <c r="D485" s="115"/>
      <c r="E485" s="115"/>
      <c r="F485" s="115"/>
      <c r="G485" s="122"/>
      <c r="H485" s="118">
        <f>I485+J485+K485+L485+M485+N485</f>
        <v>0</v>
      </c>
      <c r="I485" s="125"/>
      <c r="J485" s="125"/>
      <c r="K485" s="113"/>
      <c r="L485" s="113"/>
      <c r="M485" s="113"/>
      <c r="N485" s="113"/>
    </row>
    <row r="486" spans="1:14" s="152" customFormat="1" ht="17.25" customHeight="1">
      <c r="A486" s="136" t="s">
        <v>56</v>
      </c>
      <c r="B486" s="115">
        <v>400</v>
      </c>
      <c r="C486" s="115"/>
      <c r="D486" s="115"/>
      <c r="E486" s="115"/>
      <c r="F486" s="115"/>
      <c r="G486" s="122"/>
      <c r="H486" s="118">
        <f>H488+H489</f>
        <v>0</v>
      </c>
      <c r="I486" s="125">
        <f aca="true" t="shared" si="35" ref="I486:N486">I488+I489</f>
        <v>0</v>
      </c>
      <c r="J486" s="125">
        <f t="shared" si="35"/>
        <v>0</v>
      </c>
      <c r="K486" s="125">
        <f t="shared" si="35"/>
        <v>0</v>
      </c>
      <c r="L486" s="125">
        <f t="shared" si="35"/>
        <v>0</v>
      </c>
      <c r="M486" s="125">
        <f t="shared" si="35"/>
        <v>0</v>
      </c>
      <c r="N486" s="125">
        <f t="shared" si="35"/>
        <v>0</v>
      </c>
    </row>
    <row r="487" spans="1:14" s="152" customFormat="1" ht="14.25" customHeight="1">
      <c r="A487" s="136" t="s">
        <v>3</v>
      </c>
      <c r="B487" s="115"/>
      <c r="C487" s="148"/>
      <c r="D487" s="115"/>
      <c r="E487" s="115"/>
      <c r="F487" s="148"/>
      <c r="G487" s="149"/>
      <c r="H487" s="118"/>
      <c r="I487" s="125"/>
      <c r="J487" s="125"/>
      <c r="K487" s="113"/>
      <c r="L487" s="113"/>
      <c r="M487" s="113"/>
      <c r="N487" s="113"/>
    </row>
    <row r="488" spans="1:14" s="152" customFormat="1" ht="15.75" customHeight="1">
      <c r="A488" s="136" t="s">
        <v>57</v>
      </c>
      <c r="B488" s="144">
        <v>410</v>
      </c>
      <c r="C488" s="150"/>
      <c r="D488" s="144"/>
      <c r="E488" s="144"/>
      <c r="F488" s="150"/>
      <c r="G488" s="151"/>
      <c r="H488" s="118">
        <f aca="true" t="shared" si="36" ref="H488:H497">I488+J488+K488+L488+M488+N488</f>
        <v>0</v>
      </c>
      <c r="I488" s="125"/>
      <c r="J488" s="125"/>
      <c r="K488" s="113"/>
      <c r="L488" s="113"/>
      <c r="M488" s="113"/>
      <c r="N488" s="113"/>
    </row>
    <row r="489" spans="1:14" s="152" customFormat="1" ht="13.5" customHeight="1">
      <c r="A489" s="136" t="s">
        <v>58</v>
      </c>
      <c r="B489" s="115">
        <v>420</v>
      </c>
      <c r="C489" s="115"/>
      <c r="D489" s="115"/>
      <c r="E489" s="115"/>
      <c r="F489" s="115"/>
      <c r="G489" s="122"/>
      <c r="H489" s="118">
        <f t="shared" si="36"/>
        <v>0</v>
      </c>
      <c r="I489" s="125"/>
      <c r="J489" s="125"/>
      <c r="K489" s="113"/>
      <c r="L489" s="113"/>
      <c r="M489" s="113"/>
      <c r="N489" s="113"/>
    </row>
    <row r="490" spans="1:14" s="152" customFormat="1" ht="28.5" customHeight="1">
      <c r="A490" s="136" t="s">
        <v>337</v>
      </c>
      <c r="B490" s="115">
        <v>500</v>
      </c>
      <c r="C490" s="115" t="s">
        <v>10</v>
      </c>
      <c r="D490" s="115"/>
      <c r="E490" s="115"/>
      <c r="F490" s="115" t="s">
        <v>10</v>
      </c>
      <c r="G490" s="122"/>
      <c r="H490" s="118">
        <f t="shared" si="36"/>
        <v>0</v>
      </c>
      <c r="I490" s="125">
        <f>I491+I492</f>
        <v>0</v>
      </c>
      <c r="J490" s="125">
        <f>J491+J492</f>
        <v>0</v>
      </c>
      <c r="K490" s="125">
        <f>K491+K492</f>
        <v>0</v>
      </c>
      <c r="L490" s="125">
        <f>L491+L492</f>
        <v>0</v>
      </c>
      <c r="M490" s="125">
        <f>M491+M492+M493+M494+M495+M496</f>
        <v>0</v>
      </c>
      <c r="N490" s="125">
        <f>N491+N492</f>
        <v>0</v>
      </c>
    </row>
    <row r="491" spans="1:14" s="152" customFormat="1" ht="18" customHeight="1">
      <c r="A491" s="136" t="s">
        <v>59</v>
      </c>
      <c r="B491" s="115"/>
      <c r="C491" s="115">
        <v>131</v>
      </c>
      <c r="D491" s="115">
        <v>800000000</v>
      </c>
      <c r="E491" s="115"/>
      <c r="F491" s="115">
        <v>131</v>
      </c>
      <c r="G491" s="102" t="s">
        <v>532</v>
      </c>
      <c r="H491" s="118">
        <f t="shared" si="36"/>
        <v>0</v>
      </c>
      <c r="I491" s="153">
        <v>0</v>
      </c>
      <c r="J491" s="125"/>
      <c r="K491" s="113"/>
      <c r="L491" s="113"/>
      <c r="M491" s="113"/>
      <c r="N491" s="113"/>
    </row>
    <row r="492" spans="1:14" s="152" customFormat="1" ht="18" customHeight="1">
      <c r="A492" s="136" t="s">
        <v>59</v>
      </c>
      <c r="B492" s="115"/>
      <c r="C492" s="115">
        <v>152</v>
      </c>
      <c r="D492" s="115">
        <v>901480000</v>
      </c>
      <c r="E492" s="115"/>
      <c r="F492" s="115">
        <v>152</v>
      </c>
      <c r="G492" s="122" t="s">
        <v>535</v>
      </c>
      <c r="H492" s="118">
        <f t="shared" si="36"/>
        <v>0</v>
      </c>
      <c r="I492" s="153">
        <v>0</v>
      </c>
      <c r="J492" s="125"/>
      <c r="K492" s="113"/>
      <c r="L492" s="113"/>
      <c r="M492" s="113"/>
      <c r="N492" s="113"/>
    </row>
    <row r="493" spans="1:14" s="152" customFormat="1" ht="18" customHeight="1">
      <c r="A493" s="136" t="s">
        <v>59</v>
      </c>
      <c r="B493" s="115"/>
      <c r="C493" s="115">
        <v>121</v>
      </c>
      <c r="D493" s="116" t="s">
        <v>521</v>
      </c>
      <c r="E493" s="115"/>
      <c r="F493" s="115">
        <v>121</v>
      </c>
      <c r="G493" s="102" t="s">
        <v>533</v>
      </c>
      <c r="H493" s="118">
        <f t="shared" si="36"/>
        <v>0</v>
      </c>
      <c r="I493" s="153">
        <v>0</v>
      </c>
      <c r="J493" s="125"/>
      <c r="K493" s="113"/>
      <c r="L493" s="113"/>
      <c r="M493" s="113"/>
      <c r="N493" s="113"/>
    </row>
    <row r="494" spans="1:14" s="152" customFormat="1" ht="18" customHeight="1">
      <c r="A494" s="136" t="s">
        <v>59</v>
      </c>
      <c r="B494" s="115"/>
      <c r="C494" s="115">
        <v>131</v>
      </c>
      <c r="D494" s="116" t="s">
        <v>521</v>
      </c>
      <c r="E494" s="115"/>
      <c r="F494" s="115">
        <v>131</v>
      </c>
      <c r="G494" s="102" t="s">
        <v>533</v>
      </c>
      <c r="H494" s="118">
        <f t="shared" si="36"/>
        <v>0</v>
      </c>
      <c r="I494" s="153">
        <v>0</v>
      </c>
      <c r="J494" s="125"/>
      <c r="K494" s="113"/>
      <c r="L494" s="113"/>
      <c r="M494" s="113"/>
      <c r="N494" s="113"/>
    </row>
    <row r="495" spans="1:14" s="152" customFormat="1" ht="18" customHeight="1">
      <c r="A495" s="136" t="s">
        <v>59</v>
      </c>
      <c r="B495" s="115"/>
      <c r="C495" s="115">
        <v>135</v>
      </c>
      <c r="D495" s="116" t="s">
        <v>521</v>
      </c>
      <c r="E495" s="115"/>
      <c r="F495" s="115">
        <v>135</v>
      </c>
      <c r="G495" s="102" t="s">
        <v>533</v>
      </c>
      <c r="H495" s="118">
        <f t="shared" si="36"/>
        <v>0</v>
      </c>
      <c r="I495" s="153">
        <v>0</v>
      </c>
      <c r="J495" s="125"/>
      <c r="K495" s="113"/>
      <c r="L495" s="113"/>
      <c r="M495" s="113"/>
      <c r="N495" s="113"/>
    </row>
    <row r="496" spans="1:14" s="152" customFormat="1" ht="18" customHeight="1">
      <c r="A496" s="136" t="s">
        <v>59</v>
      </c>
      <c r="B496" s="115"/>
      <c r="C496" s="115">
        <v>189</v>
      </c>
      <c r="D496" s="116" t="s">
        <v>521</v>
      </c>
      <c r="E496" s="115"/>
      <c r="F496" s="115">
        <v>189</v>
      </c>
      <c r="G496" s="102" t="s">
        <v>533</v>
      </c>
      <c r="H496" s="118">
        <f t="shared" si="36"/>
        <v>0</v>
      </c>
      <c r="I496" s="153">
        <v>0</v>
      </c>
      <c r="J496" s="125"/>
      <c r="K496" s="113"/>
      <c r="L496" s="113"/>
      <c r="M496" s="113"/>
      <c r="N496" s="113"/>
    </row>
    <row r="497" spans="1:14" s="152" customFormat="1" ht="18" customHeight="1">
      <c r="A497" s="136" t="s">
        <v>60</v>
      </c>
      <c r="B497" s="115">
        <v>600</v>
      </c>
      <c r="C497" s="115" t="s">
        <v>10</v>
      </c>
      <c r="D497" s="115"/>
      <c r="E497" s="115"/>
      <c r="F497" s="115" t="s">
        <v>10</v>
      </c>
      <c r="G497" s="122"/>
      <c r="H497" s="154">
        <f t="shared" si="36"/>
        <v>0</v>
      </c>
      <c r="I497" s="155">
        <f>I298-I360</f>
        <v>0</v>
      </c>
      <c r="J497" s="155">
        <f>J298-J360</f>
        <v>0</v>
      </c>
      <c r="K497" s="155"/>
      <c r="L497" s="155"/>
      <c r="M497" s="155">
        <f>M298-M360</f>
        <v>0</v>
      </c>
      <c r="N497" s="120"/>
    </row>
    <row r="498" spans="1:14" ht="15">
      <c r="A498" s="66"/>
      <c r="B498" s="67"/>
      <c r="C498" s="67"/>
      <c r="D498" s="67"/>
      <c r="E498" s="67"/>
      <c r="F498" s="67"/>
      <c r="G498" s="67"/>
      <c r="H498" s="68"/>
      <c r="I498" s="69"/>
      <c r="J498" s="69"/>
      <c r="K498" s="69"/>
      <c r="L498" s="69"/>
      <c r="M498" s="69"/>
      <c r="N498" s="69"/>
    </row>
    <row r="499" spans="1:14" ht="22.5">
      <c r="A499" s="66"/>
      <c r="B499" s="67"/>
      <c r="C499" s="67"/>
      <c r="D499" s="67"/>
      <c r="E499" s="67"/>
      <c r="F499" s="67"/>
      <c r="G499" s="67"/>
      <c r="H499" s="68"/>
      <c r="I499" s="69"/>
      <c r="J499" s="69"/>
      <c r="K499" s="69"/>
      <c r="L499" s="69"/>
      <c r="M499" s="69"/>
      <c r="N499" s="23" t="s">
        <v>380</v>
      </c>
    </row>
    <row r="500" spans="1:14" ht="12.75" customHeight="1">
      <c r="A500" s="38"/>
      <c r="B500" s="21"/>
      <c r="C500" s="21"/>
      <c r="D500" s="21"/>
      <c r="E500" s="21"/>
      <c r="F500" s="21"/>
      <c r="G500" s="21"/>
      <c r="H500" s="607" t="s">
        <v>41</v>
      </c>
      <c r="I500" s="607"/>
      <c r="J500" s="607"/>
      <c r="K500" s="607"/>
      <c r="L500" s="21"/>
      <c r="M500" s="21"/>
      <c r="N500" s="21"/>
    </row>
    <row r="501" spans="1:14" ht="12.75" customHeight="1">
      <c r="A501" s="38"/>
      <c r="B501" s="21"/>
      <c r="C501" s="21"/>
      <c r="D501" s="21"/>
      <c r="E501" s="21"/>
      <c r="F501" s="21"/>
      <c r="G501" s="21"/>
      <c r="H501" s="608" t="s">
        <v>520</v>
      </c>
      <c r="I501" s="608"/>
      <c r="J501" s="608"/>
      <c r="K501" s="608"/>
      <c r="L501" s="21"/>
      <c r="M501" s="21"/>
      <c r="N501" s="21"/>
    </row>
    <row r="502" spans="1:14" ht="12.75" customHeight="1">
      <c r="A502" s="38"/>
      <c r="B502" s="21"/>
      <c r="C502" s="21"/>
      <c r="D502" s="21"/>
      <c r="E502" s="21"/>
      <c r="F502" s="21"/>
      <c r="G502" s="21"/>
      <c r="H502" s="22"/>
      <c r="I502" s="22"/>
      <c r="J502" s="22"/>
      <c r="K502" s="22"/>
      <c r="L502" s="21"/>
      <c r="M502" s="21"/>
      <c r="N502" s="21"/>
    </row>
    <row r="503" spans="1:15" s="8" customFormat="1" ht="18" customHeight="1">
      <c r="A503" s="615" t="s">
        <v>1</v>
      </c>
      <c r="B503" s="605" t="s">
        <v>45</v>
      </c>
      <c r="C503" s="629" t="s">
        <v>397</v>
      </c>
      <c r="D503" s="618" t="s">
        <v>163</v>
      </c>
      <c r="E503" s="612" t="s">
        <v>164</v>
      </c>
      <c r="F503" s="605" t="s">
        <v>165</v>
      </c>
      <c r="G503" s="621" t="s">
        <v>338</v>
      </c>
      <c r="H503" s="609" t="s">
        <v>38</v>
      </c>
      <c r="I503" s="610"/>
      <c r="J503" s="610"/>
      <c r="K503" s="610"/>
      <c r="L503" s="610"/>
      <c r="M503" s="610"/>
      <c r="N503" s="611"/>
      <c r="O503" s="64"/>
    </row>
    <row r="504" spans="1:15" s="8" customFormat="1" ht="16.5" customHeight="1">
      <c r="A504" s="616"/>
      <c r="B504" s="605"/>
      <c r="C504" s="630"/>
      <c r="D504" s="619"/>
      <c r="E504" s="606"/>
      <c r="F504" s="605"/>
      <c r="G504" s="622"/>
      <c r="H504" s="612" t="s">
        <v>33</v>
      </c>
      <c r="I504" s="605" t="s">
        <v>4</v>
      </c>
      <c r="J504" s="605"/>
      <c r="K504" s="605"/>
      <c r="L504" s="605"/>
      <c r="M504" s="605"/>
      <c r="N504" s="605"/>
      <c r="O504" s="64"/>
    </row>
    <row r="505" spans="1:15" s="8" customFormat="1" ht="68.25" customHeight="1">
      <c r="A505" s="616"/>
      <c r="B505" s="605"/>
      <c r="C505" s="630"/>
      <c r="D505" s="619"/>
      <c r="E505" s="606"/>
      <c r="F505" s="605"/>
      <c r="G505" s="622"/>
      <c r="H505" s="606"/>
      <c r="I505" s="613" t="s">
        <v>398</v>
      </c>
      <c r="J505" s="625" t="s">
        <v>166</v>
      </c>
      <c r="K505" s="604" t="s">
        <v>34</v>
      </c>
      <c r="L505" s="606" t="s">
        <v>35</v>
      </c>
      <c r="M505" s="604" t="s">
        <v>50</v>
      </c>
      <c r="N505" s="604"/>
      <c r="O505" s="64"/>
    </row>
    <row r="506" spans="1:15" s="8" customFormat="1" ht="30.75" customHeight="1">
      <c r="A506" s="617"/>
      <c r="B506" s="605"/>
      <c r="C506" s="631"/>
      <c r="D506" s="620"/>
      <c r="E506" s="604"/>
      <c r="F506" s="605"/>
      <c r="G506" s="623"/>
      <c r="H506" s="604"/>
      <c r="I506" s="614"/>
      <c r="J506" s="626"/>
      <c r="K506" s="605"/>
      <c r="L506" s="604"/>
      <c r="M506" s="42" t="s">
        <v>36</v>
      </c>
      <c r="N506" s="42" t="s">
        <v>37</v>
      </c>
      <c r="O506" s="64"/>
    </row>
    <row r="507" spans="1:15" s="9" customFormat="1" ht="12">
      <c r="A507" s="24">
        <v>2</v>
      </c>
      <c r="B507" s="24">
        <v>3</v>
      </c>
      <c r="C507" s="24"/>
      <c r="D507" s="24">
        <v>4</v>
      </c>
      <c r="E507" s="24">
        <v>5</v>
      </c>
      <c r="F507" s="24">
        <v>6</v>
      </c>
      <c r="G507" s="24">
        <v>7</v>
      </c>
      <c r="H507" s="17">
        <v>8</v>
      </c>
      <c r="I507" s="17">
        <v>9</v>
      </c>
      <c r="J507" s="17">
        <v>10</v>
      </c>
      <c r="K507" s="17">
        <v>11</v>
      </c>
      <c r="L507" s="17">
        <v>12</v>
      </c>
      <c r="M507" s="17">
        <v>13</v>
      </c>
      <c r="N507" s="17">
        <v>14</v>
      </c>
      <c r="O507" s="65"/>
    </row>
    <row r="508" spans="1:14" s="107" customFormat="1" ht="12.75">
      <c r="A508" s="103" t="s">
        <v>43</v>
      </c>
      <c r="B508" s="104">
        <v>100</v>
      </c>
      <c r="C508" s="104"/>
      <c r="D508" s="104"/>
      <c r="E508" s="104"/>
      <c r="F508" s="104" t="s">
        <v>10</v>
      </c>
      <c r="G508" s="105"/>
      <c r="H508" s="106">
        <f>H510+H514+H551</f>
        <v>63884254.97</v>
      </c>
      <c r="I508" s="106">
        <f>I514</f>
        <v>49432260.64</v>
      </c>
      <c r="J508" s="106">
        <f>J551</f>
        <v>906467.97</v>
      </c>
      <c r="K508" s="106">
        <f>K552</f>
        <v>0</v>
      </c>
      <c r="L508" s="106">
        <f>L514</f>
        <v>0</v>
      </c>
      <c r="M508" s="106">
        <f>M510+M514+M550+M561</f>
        <v>13545526.36</v>
      </c>
      <c r="N508" s="106">
        <f>N514+N561</f>
        <v>0</v>
      </c>
    </row>
    <row r="509" spans="1:14" s="107" customFormat="1" ht="12.75">
      <c r="A509" s="108" t="s">
        <v>3</v>
      </c>
      <c r="B509" s="109"/>
      <c r="C509" s="109"/>
      <c r="D509" s="109"/>
      <c r="E509" s="109"/>
      <c r="F509" s="109"/>
      <c r="G509" s="110"/>
      <c r="H509" s="111"/>
      <c r="I509" s="111"/>
      <c r="J509" s="111"/>
      <c r="K509" s="112"/>
      <c r="L509" s="112"/>
      <c r="M509" s="113"/>
      <c r="N509" s="112"/>
    </row>
    <row r="510" spans="1:14" s="121" customFormat="1" ht="17.25" customHeight="1">
      <c r="A510" s="114" t="s">
        <v>32</v>
      </c>
      <c r="B510" s="115">
        <v>110</v>
      </c>
      <c r="C510" s="115">
        <v>120</v>
      </c>
      <c r="D510" s="116" t="s">
        <v>521</v>
      </c>
      <c r="E510" s="115"/>
      <c r="F510" s="115">
        <v>120</v>
      </c>
      <c r="G510" s="117" t="s">
        <v>363</v>
      </c>
      <c r="H510" s="118">
        <f>M510</f>
        <v>750526.36</v>
      </c>
      <c r="I510" s="115" t="s">
        <v>74</v>
      </c>
      <c r="J510" s="115" t="s">
        <v>74</v>
      </c>
      <c r="K510" s="119" t="s">
        <v>10</v>
      </c>
      <c r="L510" s="119" t="s">
        <v>10</v>
      </c>
      <c r="M510" s="120">
        <f>M512+M513</f>
        <v>750526.36</v>
      </c>
      <c r="N510" s="119" t="s">
        <v>10</v>
      </c>
    </row>
    <row r="511" spans="1:14" s="121" customFormat="1" ht="12.75">
      <c r="A511" s="114" t="s">
        <v>364</v>
      </c>
      <c r="B511" s="115"/>
      <c r="C511" s="115"/>
      <c r="D511" s="116"/>
      <c r="E511" s="115"/>
      <c r="F511" s="115"/>
      <c r="G511" s="122"/>
      <c r="H511" s="118"/>
      <c r="I511" s="122"/>
      <c r="J511" s="115"/>
      <c r="K511" s="119"/>
      <c r="L511" s="123"/>
      <c r="M511" s="118"/>
      <c r="N511" s="123"/>
    </row>
    <row r="512" spans="1:14" s="121" customFormat="1" ht="14.25" customHeight="1">
      <c r="A512" s="114" t="s">
        <v>365</v>
      </c>
      <c r="B512" s="115"/>
      <c r="C512" s="115">
        <v>121</v>
      </c>
      <c r="D512" s="116" t="s">
        <v>521</v>
      </c>
      <c r="E512" s="115"/>
      <c r="F512" s="115">
        <v>121</v>
      </c>
      <c r="G512" s="117" t="s">
        <v>363</v>
      </c>
      <c r="H512" s="118">
        <f>SUM(I512:M512)</f>
        <v>700526.36</v>
      </c>
      <c r="I512" s="122"/>
      <c r="J512" s="115"/>
      <c r="K512" s="119"/>
      <c r="L512" s="123"/>
      <c r="M512" s="118">
        <v>700526.36</v>
      </c>
      <c r="N512" s="123"/>
    </row>
    <row r="513" spans="1:14" s="121" customFormat="1" ht="21" customHeight="1">
      <c r="A513" s="114" t="s">
        <v>366</v>
      </c>
      <c r="B513" s="115"/>
      <c r="C513" s="115">
        <v>124</v>
      </c>
      <c r="D513" s="116" t="s">
        <v>521</v>
      </c>
      <c r="E513" s="115"/>
      <c r="F513" s="115">
        <v>124</v>
      </c>
      <c r="G513" s="117" t="s">
        <v>363</v>
      </c>
      <c r="H513" s="118">
        <f>SUM(I513:M513)</f>
        <v>50000</v>
      </c>
      <c r="I513" s="122"/>
      <c r="J513" s="115"/>
      <c r="K513" s="119"/>
      <c r="L513" s="123"/>
      <c r="M513" s="118">
        <v>50000</v>
      </c>
      <c r="N513" s="123"/>
    </row>
    <row r="514" spans="1:14" s="121" customFormat="1" ht="23.25" customHeight="1">
      <c r="A514" s="114" t="s">
        <v>367</v>
      </c>
      <c r="B514" s="115">
        <v>120</v>
      </c>
      <c r="C514" s="115">
        <v>130</v>
      </c>
      <c r="D514" s="116" t="s">
        <v>521</v>
      </c>
      <c r="E514" s="115"/>
      <c r="F514" s="115">
        <v>130</v>
      </c>
      <c r="G514" s="122"/>
      <c r="H514" s="118">
        <f>I514+L514+M514+N514</f>
        <v>62227260.64</v>
      </c>
      <c r="I514" s="118">
        <f>SUM(I515:I540)</f>
        <v>49432260.64</v>
      </c>
      <c r="J514" s="115" t="s">
        <v>74</v>
      </c>
      <c r="K514" s="115" t="s">
        <v>74</v>
      </c>
      <c r="L514" s="118">
        <f>L515+L517+L519+L522+L524+L526+L527+L528+L529+L530+L531+L532+L533+L534+L536+L538+L539+L540</f>
        <v>0</v>
      </c>
      <c r="M514" s="118">
        <f>M515+M517+M519+M522+M524+M526+M527+M528+M529+M530+M531+M532+M533+M534+M536+M538+M539+M540+M518+M541+M542</f>
        <v>12795000</v>
      </c>
      <c r="N514" s="118">
        <f>N515+N517+N519+N522+N524+N526+N527+N528+N529+N530+N531+N532+N533</f>
        <v>0</v>
      </c>
    </row>
    <row r="515" spans="1:14" s="107" customFormat="1" ht="27.75" customHeight="1">
      <c r="A515" s="124" t="s">
        <v>342</v>
      </c>
      <c r="B515" s="489"/>
      <c r="C515" s="489">
        <v>131</v>
      </c>
      <c r="D515" s="489">
        <v>800000000</v>
      </c>
      <c r="E515" s="489"/>
      <c r="F515" s="489">
        <v>131</v>
      </c>
      <c r="G515" s="490" t="s">
        <v>525</v>
      </c>
      <c r="H515" s="485">
        <f>I515+J515+K515+L515+M515</f>
        <v>10758335.66</v>
      </c>
      <c r="I515" s="486">
        <v>10758335.66</v>
      </c>
      <c r="J515" s="125">
        <v>0</v>
      </c>
      <c r="K515" s="112"/>
      <c r="L515" s="111"/>
      <c r="M515" s="125">
        <v>0</v>
      </c>
      <c r="N515" s="125"/>
    </row>
    <row r="516" spans="1:14" s="107" customFormat="1" ht="12" customHeight="1">
      <c r="A516" s="124" t="s">
        <v>356</v>
      </c>
      <c r="B516" s="489"/>
      <c r="C516" s="489">
        <v>131</v>
      </c>
      <c r="D516" s="489">
        <v>800000000</v>
      </c>
      <c r="E516" s="489"/>
      <c r="F516" s="489">
        <v>131</v>
      </c>
      <c r="G516" s="493" t="s">
        <v>524</v>
      </c>
      <c r="H516" s="485">
        <f>I516+J516+K516+L516+M516</f>
        <v>983705.2</v>
      </c>
      <c r="I516" s="486">
        <v>983705.2</v>
      </c>
      <c r="J516" s="125">
        <v>0</v>
      </c>
      <c r="K516" s="112"/>
      <c r="L516" s="111"/>
      <c r="M516" s="125">
        <v>0</v>
      </c>
      <c r="N516" s="125"/>
    </row>
    <row r="517" spans="1:14" s="107" customFormat="1" ht="12" customHeight="1">
      <c r="A517" s="114" t="s">
        <v>343</v>
      </c>
      <c r="B517" s="489"/>
      <c r="C517" s="489">
        <v>131</v>
      </c>
      <c r="D517" s="489">
        <v>800000000</v>
      </c>
      <c r="E517" s="489"/>
      <c r="F517" s="489">
        <v>131</v>
      </c>
      <c r="G517" s="493" t="s">
        <v>524</v>
      </c>
      <c r="H517" s="485">
        <f>I517+J517+K517+L517+M517</f>
        <v>1540928.86</v>
      </c>
      <c r="I517" s="486">
        <v>1540928.86</v>
      </c>
      <c r="J517" s="125">
        <v>0</v>
      </c>
      <c r="K517" s="112"/>
      <c r="L517" s="111"/>
      <c r="M517" s="125">
        <v>0</v>
      </c>
      <c r="N517" s="125"/>
    </row>
    <row r="518" spans="1:14" s="121" customFormat="1" ht="12" customHeight="1">
      <c r="A518" s="114" t="s">
        <v>343</v>
      </c>
      <c r="B518" s="115"/>
      <c r="C518" s="115">
        <v>131</v>
      </c>
      <c r="D518" s="116" t="s">
        <v>521</v>
      </c>
      <c r="E518" s="115"/>
      <c r="F518" s="115">
        <v>131</v>
      </c>
      <c r="G518" s="117" t="s">
        <v>363</v>
      </c>
      <c r="H518" s="118">
        <f aca="true" t="shared" si="37" ref="H518:H538">I518+J518+K518+L518+M518</f>
        <v>2710000</v>
      </c>
      <c r="I518" s="118">
        <v>0</v>
      </c>
      <c r="J518" s="118">
        <v>0</v>
      </c>
      <c r="K518" s="119"/>
      <c r="L518" s="123"/>
      <c r="M518" s="159">
        <v>2710000</v>
      </c>
      <c r="N518" s="118"/>
    </row>
    <row r="519" spans="1:14" s="107" customFormat="1" ht="26.25" customHeight="1">
      <c r="A519" s="108" t="s">
        <v>344</v>
      </c>
      <c r="B519" s="109"/>
      <c r="C519" s="109">
        <v>131</v>
      </c>
      <c r="D519" s="115">
        <v>800000000</v>
      </c>
      <c r="E519" s="109"/>
      <c r="F519" s="109">
        <v>131</v>
      </c>
      <c r="G519" s="180" t="s">
        <v>526</v>
      </c>
      <c r="H519" s="125">
        <f t="shared" si="37"/>
        <v>11457505.6</v>
      </c>
      <c r="I519" s="125">
        <f>292941+8670581.7+2493982.9</f>
        <v>11457505.6</v>
      </c>
      <c r="J519" s="125"/>
      <c r="K519" s="112"/>
      <c r="L519" s="111"/>
      <c r="M519" s="125"/>
      <c r="N519" s="125"/>
    </row>
    <row r="520" spans="1:14" s="107" customFormat="1" ht="26.25" customHeight="1">
      <c r="A520" s="108" t="s">
        <v>344</v>
      </c>
      <c r="B520" s="109"/>
      <c r="C520" s="109">
        <v>131</v>
      </c>
      <c r="D520" s="115">
        <v>800000000</v>
      </c>
      <c r="E520" s="109"/>
      <c r="F520" s="109">
        <v>131</v>
      </c>
      <c r="G520" s="102" t="s">
        <v>527</v>
      </c>
      <c r="H520" s="125">
        <f t="shared" si="37"/>
        <v>1712009.64</v>
      </c>
      <c r="I520" s="125">
        <f>1712009.64</f>
        <v>1712009.64</v>
      </c>
      <c r="J520" s="125"/>
      <c r="K520" s="112"/>
      <c r="L520" s="111"/>
      <c r="M520" s="125"/>
      <c r="N520" s="125"/>
    </row>
    <row r="521" spans="1:14" s="107" customFormat="1" ht="26.25" customHeight="1" hidden="1">
      <c r="A521" s="518" t="s">
        <v>344</v>
      </c>
      <c r="B521" s="501"/>
      <c r="C521" s="501">
        <v>131</v>
      </c>
      <c r="D521" s="489">
        <v>800000000</v>
      </c>
      <c r="E521" s="501"/>
      <c r="F521" s="501">
        <v>131</v>
      </c>
      <c r="G521" s="490" t="s">
        <v>526</v>
      </c>
      <c r="H521" s="485">
        <f t="shared" si="37"/>
        <v>0</v>
      </c>
      <c r="I521" s="486"/>
      <c r="J521" s="125"/>
      <c r="K521" s="112"/>
      <c r="L521" s="111"/>
      <c r="M521" s="125"/>
      <c r="N521" s="125"/>
    </row>
    <row r="522" spans="1:14" s="107" customFormat="1" ht="26.25" customHeight="1">
      <c r="A522" s="108" t="s">
        <v>345</v>
      </c>
      <c r="B522" s="109"/>
      <c r="C522" s="109">
        <v>131</v>
      </c>
      <c r="D522" s="115">
        <v>800000000</v>
      </c>
      <c r="E522" s="109"/>
      <c r="F522" s="109">
        <v>131</v>
      </c>
      <c r="G522" s="180" t="s">
        <v>526</v>
      </c>
      <c r="H522" s="125">
        <f t="shared" si="37"/>
        <v>11162689.2</v>
      </c>
      <c r="I522" s="125">
        <f>360180+10802509.2</f>
        <v>11162689.2</v>
      </c>
      <c r="J522" s="125"/>
      <c r="K522" s="112"/>
      <c r="L522" s="111"/>
      <c r="M522" s="125"/>
      <c r="N522" s="125"/>
    </row>
    <row r="523" spans="1:14" s="107" customFormat="1" ht="27.75" customHeight="1">
      <c r="A523" s="108" t="s">
        <v>345</v>
      </c>
      <c r="B523" s="109"/>
      <c r="C523" s="109">
        <v>131</v>
      </c>
      <c r="D523" s="115">
        <v>800000000</v>
      </c>
      <c r="E523" s="109"/>
      <c r="F523" s="109">
        <v>131</v>
      </c>
      <c r="G523" s="102" t="s">
        <v>527</v>
      </c>
      <c r="H523" s="125">
        <f t="shared" si="37"/>
        <v>1644933.36</v>
      </c>
      <c r="I523" s="125">
        <f>1644933.36</f>
        <v>1644933.36</v>
      </c>
      <c r="J523" s="125"/>
      <c r="K523" s="112"/>
      <c r="L523" s="111"/>
      <c r="M523" s="125"/>
      <c r="N523" s="125"/>
    </row>
    <row r="524" spans="1:14" s="107" customFormat="1" ht="26.25" customHeight="1">
      <c r="A524" s="108" t="s">
        <v>346</v>
      </c>
      <c r="B524" s="109"/>
      <c r="C524" s="109">
        <v>131</v>
      </c>
      <c r="D524" s="115">
        <v>800000000</v>
      </c>
      <c r="E524" s="109"/>
      <c r="F524" s="109">
        <v>131</v>
      </c>
      <c r="G524" s="180" t="s">
        <v>526</v>
      </c>
      <c r="H524" s="125">
        <f t="shared" si="37"/>
        <v>3986028.2</v>
      </c>
      <c r="I524" s="125">
        <f>122248+3863780.2</f>
        <v>3986028.2</v>
      </c>
      <c r="J524" s="125"/>
      <c r="K524" s="112"/>
      <c r="L524" s="111"/>
      <c r="M524" s="125"/>
      <c r="N524" s="125"/>
    </row>
    <row r="525" spans="1:14" s="107" customFormat="1" ht="26.25" customHeight="1">
      <c r="A525" s="108" t="s">
        <v>346</v>
      </c>
      <c r="B525" s="109"/>
      <c r="C525" s="109">
        <v>131</v>
      </c>
      <c r="D525" s="115">
        <v>800000000</v>
      </c>
      <c r="E525" s="109"/>
      <c r="F525" s="109">
        <v>131</v>
      </c>
      <c r="G525" s="102" t="s">
        <v>527</v>
      </c>
      <c r="H525" s="125">
        <f t="shared" si="37"/>
        <v>1031767.92</v>
      </c>
      <c r="I525" s="125">
        <f>555423.64+476344.28</f>
        <v>1031767.92</v>
      </c>
      <c r="J525" s="125"/>
      <c r="K525" s="112"/>
      <c r="L525" s="111"/>
      <c r="M525" s="125"/>
      <c r="N525" s="125"/>
    </row>
    <row r="526" spans="1:14" s="107" customFormat="1" ht="12" customHeight="1">
      <c r="A526" s="108" t="s">
        <v>347</v>
      </c>
      <c r="B526" s="501"/>
      <c r="C526" s="501">
        <v>131</v>
      </c>
      <c r="D526" s="489">
        <v>800000000</v>
      </c>
      <c r="E526" s="501"/>
      <c r="F526" s="501">
        <v>131</v>
      </c>
      <c r="G526" s="493" t="s">
        <v>527</v>
      </c>
      <c r="H526" s="485">
        <f t="shared" si="37"/>
        <v>0</v>
      </c>
      <c r="I526" s="486"/>
      <c r="J526" s="125"/>
      <c r="K526" s="112"/>
      <c r="L526" s="111"/>
      <c r="M526" s="125"/>
      <c r="N526" s="125"/>
    </row>
    <row r="527" spans="1:14" s="107" customFormat="1" ht="27.75" customHeight="1">
      <c r="A527" s="126" t="s">
        <v>517</v>
      </c>
      <c r="B527" s="109"/>
      <c r="C527" s="109">
        <v>131</v>
      </c>
      <c r="D527" s="115">
        <v>800000000</v>
      </c>
      <c r="E527" s="109"/>
      <c r="F527" s="109">
        <v>131</v>
      </c>
      <c r="G527" s="110"/>
      <c r="H527" s="125">
        <f t="shared" si="37"/>
        <v>0</v>
      </c>
      <c r="I527" s="125">
        <v>0</v>
      </c>
      <c r="J527" s="125"/>
      <c r="K527" s="112"/>
      <c r="L527" s="111"/>
      <c r="M527" s="125"/>
      <c r="N527" s="125"/>
    </row>
    <row r="528" spans="1:14" s="107" customFormat="1" ht="44.25" customHeight="1">
      <c r="A528" s="108" t="s">
        <v>348</v>
      </c>
      <c r="B528" s="109"/>
      <c r="C528" s="109">
        <v>131</v>
      </c>
      <c r="D528" s="115">
        <v>800000000</v>
      </c>
      <c r="E528" s="109"/>
      <c r="F528" s="109">
        <v>131</v>
      </c>
      <c r="G528" s="110"/>
      <c r="H528" s="125">
        <f t="shared" si="37"/>
        <v>0</v>
      </c>
      <c r="I528" s="125">
        <v>0</v>
      </c>
      <c r="J528" s="125"/>
      <c r="K528" s="112"/>
      <c r="L528" s="111"/>
      <c r="M528" s="125"/>
      <c r="N528" s="125"/>
    </row>
    <row r="529" spans="1:14" s="107" customFormat="1" ht="22.5" customHeight="1">
      <c r="A529" s="114" t="s">
        <v>349</v>
      </c>
      <c r="B529" s="115"/>
      <c r="C529" s="115">
        <v>131</v>
      </c>
      <c r="D529" s="115">
        <v>800000000</v>
      </c>
      <c r="E529" s="115"/>
      <c r="F529" s="115">
        <v>131</v>
      </c>
      <c r="G529" s="122"/>
      <c r="H529" s="118">
        <f t="shared" si="37"/>
        <v>0</v>
      </c>
      <c r="I529" s="125">
        <v>0</v>
      </c>
      <c r="J529" s="125"/>
      <c r="K529" s="112"/>
      <c r="L529" s="111"/>
      <c r="M529" s="125"/>
      <c r="N529" s="125"/>
    </row>
    <row r="530" spans="1:14" s="107" customFormat="1" ht="31.5" customHeight="1">
      <c r="A530" s="127" t="s">
        <v>350</v>
      </c>
      <c r="B530" s="115"/>
      <c r="C530" s="115">
        <v>131</v>
      </c>
      <c r="D530" s="115">
        <v>800000000</v>
      </c>
      <c r="E530" s="115"/>
      <c r="F530" s="115">
        <v>131</v>
      </c>
      <c r="G530" s="122"/>
      <c r="H530" s="118">
        <f t="shared" si="37"/>
        <v>0</v>
      </c>
      <c r="I530" s="125">
        <v>0</v>
      </c>
      <c r="J530" s="125"/>
      <c r="K530" s="112"/>
      <c r="L530" s="111"/>
      <c r="M530" s="125"/>
      <c r="N530" s="125"/>
    </row>
    <row r="531" spans="1:14" s="107" customFormat="1" ht="43.5" customHeight="1">
      <c r="A531" s="114" t="s">
        <v>351</v>
      </c>
      <c r="B531" s="115"/>
      <c r="C531" s="115">
        <v>131</v>
      </c>
      <c r="D531" s="115">
        <v>800000000</v>
      </c>
      <c r="E531" s="115"/>
      <c r="F531" s="115">
        <v>131</v>
      </c>
      <c r="G531" s="122"/>
      <c r="H531" s="118">
        <f t="shared" si="37"/>
        <v>0</v>
      </c>
      <c r="I531" s="125">
        <v>0</v>
      </c>
      <c r="J531" s="125"/>
      <c r="K531" s="112"/>
      <c r="L531" s="111"/>
      <c r="M531" s="125"/>
      <c r="N531" s="125"/>
    </row>
    <row r="532" spans="1:14" s="107" customFormat="1" ht="33" customHeight="1">
      <c r="A532" s="114" t="s">
        <v>352</v>
      </c>
      <c r="B532" s="115"/>
      <c r="C532" s="115">
        <v>131</v>
      </c>
      <c r="D532" s="115">
        <v>800000000</v>
      </c>
      <c r="E532" s="115"/>
      <c r="F532" s="115">
        <v>131</v>
      </c>
      <c r="G532" s="122"/>
      <c r="H532" s="118">
        <f t="shared" si="37"/>
        <v>0</v>
      </c>
      <c r="I532" s="125">
        <v>0</v>
      </c>
      <c r="J532" s="125"/>
      <c r="K532" s="112"/>
      <c r="L532" s="111"/>
      <c r="M532" s="125"/>
      <c r="N532" s="125"/>
    </row>
    <row r="533" spans="1:14" s="107" customFormat="1" ht="33.75" customHeight="1">
      <c r="A533" s="114" t="s">
        <v>353</v>
      </c>
      <c r="B533" s="115"/>
      <c r="C533" s="115">
        <v>131</v>
      </c>
      <c r="D533" s="115">
        <v>800000000</v>
      </c>
      <c r="E533" s="115"/>
      <c r="F533" s="115">
        <v>131</v>
      </c>
      <c r="G533" s="122"/>
      <c r="H533" s="118">
        <f t="shared" si="37"/>
        <v>0</v>
      </c>
      <c r="I533" s="125">
        <v>0</v>
      </c>
      <c r="J533" s="125"/>
      <c r="K533" s="112"/>
      <c r="L533" s="111"/>
      <c r="M533" s="125"/>
      <c r="N533" s="125"/>
    </row>
    <row r="534" spans="1:14" s="107" customFormat="1" ht="25.5">
      <c r="A534" s="114" t="s">
        <v>51</v>
      </c>
      <c r="B534" s="115"/>
      <c r="C534" s="115">
        <v>131</v>
      </c>
      <c r="D534" s="115">
        <v>800000000</v>
      </c>
      <c r="E534" s="115"/>
      <c r="F534" s="115">
        <v>131</v>
      </c>
      <c r="G534" s="102" t="s">
        <v>527</v>
      </c>
      <c r="H534" s="118">
        <f t="shared" si="37"/>
        <v>1112470</v>
      </c>
      <c r="I534" s="125">
        <f>805176+307294</f>
        <v>1112470</v>
      </c>
      <c r="J534" s="125"/>
      <c r="K534" s="112"/>
      <c r="L534" s="111"/>
      <c r="M534" s="125"/>
      <c r="N534" s="125"/>
    </row>
    <row r="535" spans="1:14" s="107" customFormat="1" ht="25.5" hidden="1">
      <c r="A535" s="114" t="s">
        <v>51</v>
      </c>
      <c r="B535" s="487"/>
      <c r="C535" s="487">
        <v>131</v>
      </c>
      <c r="D535" s="489">
        <v>800000000</v>
      </c>
      <c r="E535" s="487"/>
      <c r="F535" s="487">
        <v>131</v>
      </c>
      <c r="G535" s="494" t="s">
        <v>527</v>
      </c>
      <c r="H535" s="491">
        <f t="shared" si="37"/>
        <v>0</v>
      </c>
      <c r="I535" s="486"/>
      <c r="J535" s="125"/>
      <c r="K535" s="112"/>
      <c r="L535" s="111"/>
      <c r="M535" s="125"/>
      <c r="N535" s="125"/>
    </row>
    <row r="536" spans="1:14" s="107" customFormat="1" ht="12.75">
      <c r="A536" s="114" t="s">
        <v>52</v>
      </c>
      <c r="B536" s="115"/>
      <c r="C536" s="115">
        <v>131</v>
      </c>
      <c r="D536" s="115">
        <v>800000000</v>
      </c>
      <c r="E536" s="115"/>
      <c r="F536" s="115">
        <v>131</v>
      </c>
      <c r="G536" s="102" t="s">
        <v>527</v>
      </c>
      <c r="H536" s="118">
        <f t="shared" si="37"/>
        <v>4041887</v>
      </c>
      <c r="I536" s="125">
        <f>2959713+1082174</f>
        <v>4041887</v>
      </c>
      <c r="J536" s="125"/>
      <c r="K536" s="112"/>
      <c r="L536" s="111"/>
      <c r="M536" s="125"/>
      <c r="N536" s="125"/>
    </row>
    <row r="537" spans="1:14" s="107" customFormat="1" ht="15" hidden="1">
      <c r="A537" s="114" t="s">
        <v>52</v>
      </c>
      <c r="B537" s="487"/>
      <c r="C537" s="487">
        <v>131</v>
      </c>
      <c r="D537" s="489">
        <v>800000000</v>
      </c>
      <c r="E537" s="487"/>
      <c r="F537" s="487">
        <v>131</v>
      </c>
      <c r="G537" s="494" t="s">
        <v>527</v>
      </c>
      <c r="H537" s="491">
        <f t="shared" si="37"/>
        <v>0</v>
      </c>
      <c r="I537" s="486"/>
      <c r="J537" s="125"/>
      <c r="K537" s="112"/>
      <c r="L537" s="111"/>
      <c r="M537" s="125"/>
      <c r="N537" s="125"/>
    </row>
    <row r="538" spans="1:14" s="128" customFormat="1" ht="12.75">
      <c r="A538" s="114" t="s">
        <v>46</v>
      </c>
      <c r="B538" s="115"/>
      <c r="C538" s="115">
        <v>131</v>
      </c>
      <c r="D538" s="116" t="s">
        <v>521</v>
      </c>
      <c r="E538" s="115"/>
      <c r="F538" s="115">
        <v>131</v>
      </c>
      <c r="G538" s="117" t="s">
        <v>363</v>
      </c>
      <c r="H538" s="118">
        <f t="shared" si="37"/>
        <v>7823000</v>
      </c>
      <c r="I538" s="118"/>
      <c r="J538" s="118"/>
      <c r="K538" s="119"/>
      <c r="L538" s="123"/>
      <c r="M538" s="118">
        <f>5670000+2153000</f>
        <v>7823000</v>
      </c>
      <c r="N538" s="118"/>
    </row>
    <row r="539" spans="1:14" s="128" customFormat="1" ht="12.75">
      <c r="A539" s="114" t="s">
        <v>48</v>
      </c>
      <c r="B539" s="115"/>
      <c r="C539" s="115">
        <v>131</v>
      </c>
      <c r="D539" s="116" t="s">
        <v>521</v>
      </c>
      <c r="E539" s="115"/>
      <c r="F539" s="115">
        <v>131</v>
      </c>
      <c r="G539" s="117" t="s">
        <v>363</v>
      </c>
      <c r="H539" s="118">
        <f>I539+J539+K539+L539+M539</f>
        <v>1890000</v>
      </c>
      <c r="I539" s="118"/>
      <c r="J539" s="118"/>
      <c r="K539" s="119"/>
      <c r="L539" s="123"/>
      <c r="M539" s="159">
        <v>1890000</v>
      </c>
      <c r="N539" s="118"/>
    </row>
    <row r="540" spans="1:14" s="128" customFormat="1" ht="15.75" customHeight="1">
      <c r="A540" s="114" t="s">
        <v>368</v>
      </c>
      <c r="B540" s="115"/>
      <c r="C540" s="115">
        <v>134</v>
      </c>
      <c r="D540" s="116" t="s">
        <v>521</v>
      </c>
      <c r="E540" s="115"/>
      <c r="F540" s="115">
        <v>134</v>
      </c>
      <c r="G540" s="117" t="s">
        <v>363</v>
      </c>
      <c r="H540" s="118">
        <f>I540+J540+K540+L540+M540</f>
        <v>0</v>
      </c>
      <c r="I540" s="118"/>
      <c r="J540" s="118"/>
      <c r="K540" s="119"/>
      <c r="L540" s="123"/>
      <c r="M540" s="118"/>
      <c r="N540" s="118"/>
    </row>
    <row r="541" spans="1:14" s="128" customFormat="1" ht="15.75" customHeight="1">
      <c r="A541" s="114" t="s">
        <v>47</v>
      </c>
      <c r="B541" s="115"/>
      <c r="C541" s="115">
        <v>135</v>
      </c>
      <c r="D541" s="116" t="s">
        <v>521</v>
      </c>
      <c r="E541" s="115"/>
      <c r="F541" s="115">
        <v>135</v>
      </c>
      <c r="G541" s="117" t="s">
        <v>363</v>
      </c>
      <c r="H541" s="118">
        <f>I541+J541+K541+L541+M541</f>
        <v>372000</v>
      </c>
      <c r="I541" s="118"/>
      <c r="J541" s="118"/>
      <c r="K541" s="119"/>
      <c r="L541" s="123"/>
      <c r="M541" s="118">
        <f>365000+7000</f>
        <v>372000</v>
      </c>
      <c r="N541" s="118"/>
    </row>
    <row r="542" spans="1:14" s="128" customFormat="1" ht="15.75" customHeight="1">
      <c r="A542" s="114" t="s">
        <v>47</v>
      </c>
      <c r="B542" s="487"/>
      <c r="C542" s="489">
        <v>135</v>
      </c>
      <c r="D542" s="488" t="s">
        <v>521</v>
      </c>
      <c r="E542" s="489"/>
      <c r="F542" s="489">
        <v>135</v>
      </c>
      <c r="G542" s="492" t="s">
        <v>363</v>
      </c>
      <c r="H542" s="491">
        <f>I542+J542+K542+L542+M542</f>
        <v>0</v>
      </c>
      <c r="I542" s="491">
        <v>0</v>
      </c>
      <c r="J542" s="491">
        <v>0</v>
      </c>
      <c r="K542" s="119">
        <v>0</v>
      </c>
      <c r="L542" s="123">
        <v>0</v>
      </c>
      <c r="M542" s="495"/>
      <c r="N542" s="118"/>
    </row>
    <row r="543" spans="1:14" s="134" customFormat="1" ht="21.75" customHeight="1">
      <c r="A543" s="129" t="s">
        <v>432</v>
      </c>
      <c r="B543" s="130">
        <v>130</v>
      </c>
      <c r="C543" s="130">
        <v>140</v>
      </c>
      <c r="D543" s="116" t="s">
        <v>521</v>
      </c>
      <c r="E543" s="130"/>
      <c r="F543" s="130">
        <v>140</v>
      </c>
      <c r="G543" s="131" t="s">
        <v>363</v>
      </c>
      <c r="H543" s="132">
        <f>M543</f>
        <v>0</v>
      </c>
      <c r="I543" s="130" t="s">
        <v>74</v>
      </c>
      <c r="J543" s="130" t="s">
        <v>74</v>
      </c>
      <c r="K543" s="130" t="s">
        <v>74</v>
      </c>
      <c r="L543" s="130" t="s">
        <v>74</v>
      </c>
      <c r="M543" s="133">
        <f>M545+M546+M547+M548+M549</f>
        <v>0</v>
      </c>
      <c r="N543" s="130" t="s">
        <v>74</v>
      </c>
    </row>
    <row r="544" spans="1:14" s="128" customFormat="1" ht="12.75">
      <c r="A544" s="114" t="s">
        <v>364</v>
      </c>
      <c r="B544" s="115"/>
      <c r="C544" s="115"/>
      <c r="D544" s="116"/>
      <c r="E544" s="115"/>
      <c r="F544" s="115"/>
      <c r="G544" s="122"/>
      <c r="H544" s="118"/>
      <c r="I544" s="122"/>
      <c r="J544" s="115"/>
      <c r="K544" s="119"/>
      <c r="L544" s="123"/>
      <c r="M544" s="118"/>
      <c r="N544" s="123"/>
    </row>
    <row r="545" spans="1:14" s="128" customFormat="1" ht="38.25">
      <c r="A545" s="114" t="s">
        <v>369</v>
      </c>
      <c r="B545" s="115"/>
      <c r="C545" s="115">
        <v>141</v>
      </c>
      <c r="D545" s="116" t="s">
        <v>521</v>
      </c>
      <c r="E545" s="115"/>
      <c r="F545" s="115">
        <v>141</v>
      </c>
      <c r="G545" s="117" t="s">
        <v>363</v>
      </c>
      <c r="H545" s="118">
        <f>I545+J545+K545+L545+M545</f>
        <v>0</v>
      </c>
      <c r="I545" s="122"/>
      <c r="J545" s="115"/>
      <c r="K545" s="119"/>
      <c r="L545" s="123"/>
      <c r="M545" s="118"/>
      <c r="N545" s="123"/>
    </row>
    <row r="546" spans="1:14" s="128" customFormat="1" ht="25.5">
      <c r="A546" s="114" t="s">
        <v>370</v>
      </c>
      <c r="B546" s="115"/>
      <c r="C546" s="115">
        <v>142</v>
      </c>
      <c r="D546" s="116" t="s">
        <v>521</v>
      </c>
      <c r="E546" s="115"/>
      <c r="F546" s="115">
        <v>142</v>
      </c>
      <c r="G546" s="117" t="s">
        <v>363</v>
      </c>
      <c r="H546" s="118">
        <f>I546+J546+K546+L546+M546</f>
        <v>0</v>
      </c>
      <c r="I546" s="122"/>
      <c r="J546" s="115"/>
      <c r="K546" s="119"/>
      <c r="L546" s="123"/>
      <c r="M546" s="118"/>
      <c r="N546" s="123"/>
    </row>
    <row r="547" spans="1:14" s="128" customFormat="1" ht="15" customHeight="1">
      <c r="A547" s="114" t="s">
        <v>371</v>
      </c>
      <c r="B547" s="115"/>
      <c r="C547" s="115">
        <v>143</v>
      </c>
      <c r="D547" s="116" t="s">
        <v>521</v>
      </c>
      <c r="E547" s="115"/>
      <c r="F547" s="115">
        <v>143</v>
      </c>
      <c r="G547" s="117" t="s">
        <v>363</v>
      </c>
      <c r="H547" s="118">
        <f>I547+J547+K547+L547+M547</f>
        <v>0</v>
      </c>
      <c r="I547" s="122"/>
      <c r="J547" s="115"/>
      <c r="K547" s="119"/>
      <c r="L547" s="123"/>
      <c r="M547" s="118"/>
      <c r="N547" s="123"/>
    </row>
    <row r="548" spans="1:14" s="128" customFormat="1" ht="15" customHeight="1">
      <c r="A548" s="114" t="s">
        <v>372</v>
      </c>
      <c r="B548" s="115"/>
      <c r="C548" s="115">
        <v>144</v>
      </c>
      <c r="D548" s="116" t="s">
        <v>521</v>
      </c>
      <c r="E548" s="115"/>
      <c r="F548" s="115">
        <v>144</v>
      </c>
      <c r="G548" s="117" t="s">
        <v>363</v>
      </c>
      <c r="H548" s="118">
        <f>I548+J548+K548+L548+M548</f>
        <v>0</v>
      </c>
      <c r="I548" s="122"/>
      <c r="J548" s="115"/>
      <c r="K548" s="119"/>
      <c r="L548" s="123"/>
      <c r="M548" s="118"/>
      <c r="N548" s="123"/>
    </row>
    <row r="549" spans="1:14" s="128" customFormat="1" ht="23.25" customHeight="1">
      <c r="A549" s="114" t="s">
        <v>373</v>
      </c>
      <c r="B549" s="115"/>
      <c r="C549" s="115">
        <v>145</v>
      </c>
      <c r="D549" s="116" t="s">
        <v>521</v>
      </c>
      <c r="E549" s="115"/>
      <c r="F549" s="115">
        <v>145</v>
      </c>
      <c r="G549" s="117" t="s">
        <v>363</v>
      </c>
      <c r="H549" s="118">
        <f>I549+J549+K549+L549+M549</f>
        <v>0</v>
      </c>
      <c r="I549" s="122"/>
      <c r="J549" s="115"/>
      <c r="K549" s="119"/>
      <c r="L549" s="123"/>
      <c r="M549" s="118"/>
      <c r="N549" s="123"/>
    </row>
    <row r="550" spans="1:14" s="107" customFormat="1" ht="50.25" customHeight="1">
      <c r="A550" s="114" t="s">
        <v>49</v>
      </c>
      <c r="B550" s="115">
        <v>140</v>
      </c>
      <c r="C550" s="115"/>
      <c r="D550" s="116" t="s">
        <v>521</v>
      </c>
      <c r="E550" s="115"/>
      <c r="F550" s="115"/>
      <c r="G550" s="122"/>
      <c r="H550" s="118">
        <f>M550</f>
        <v>0</v>
      </c>
      <c r="I550" s="109" t="s">
        <v>74</v>
      </c>
      <c r="J550" s="109" t="s">
        <v>74</v>
      </c>
      <c r="K550" s="109" t="s">
        <v>74</v>
      </c>
      <c r="L550" s="109" t="s">
        <v>74</v>
      </c>
      <c r="M550" s="109"/>
      <c r="N550" s="109" t="s">
        <v>74</v>
      </c>
    </row>
    <row r="551" spans="1:14" s="107" customFormat="1" ht="31.5" customHeight="1">
      <c r="A551" s="114" t="s">
        <v>167</v>
      </c>
      <c r="B551" s="489">
        <v>150</v>
      </c>
      <c r="C551" s="489">
        <v>150</v>
      </c>
      <c r="D551" s="489">
        <v>901000000</v>
      </c>
      <c r="E551" s="489"/>
      <c r="F551" s="489">
        <v>150</v>
      </c>
      <c r="G551" s="500"/>
      <c r="H551" s="491">
        <f aca="true" t="shared" si="38" ref="H551:H559">J551+K551</f>
        <v>906467.97</v>
      </c>
      <c r="I551" s="501" t="s">
        <v>74</v>
      </c>
      <c r="J551" s="517">
        <f>SUM(J552:J559)</f>
        <v>906467.97</v>
      </c>
      <c r="K551" s="109">
        <f>K552</f>
        <v>0</v>
      </c>
      <c r="L551" s="109" t="s">
        <v>74</v>
      </c>
      <c r="M551" s="109" t="s">
        <v>74</v>
      </c>
      <c r="N551" s="109" t="s">
        <v>74</v>
      </c>
    </row>
    <row r="552" spans="1:14" s="107" customFormat="1" ht="31.5" customHeight="1">
      <c r="A552" s="114" t="s">
        <v>828</v>
      </c>
      <c r="B552" s="489"/>
      <c r="C552" s="489">
        <v>152</v>
      </c>
      <c r="D552" s="489">
        <v>901480000</v>
      </c>
      <c r="E552" s="489"/>
      <c r="F552" s="489">
        <v>152</v>
      </c>
      <c r="G552" s="500" t="s">
        <v>526</v>
      </c>
      <c r="H552" s="491">
        <f t="shared" si="38"/>
        <v>364383</v>
      </c>
      <c r="I552" s="501">
        <v>0</v>
      </c>
      <c r="J552" s="486">
        <v>364383</v>
      </c>
      <c r="K552" s="112"/>
      <c r="L552" s="109" t="s">
        <v>74</v>
      </c>
      <c r="M552" s="109" t="s">
        <v>74</v>
      </c>
      <c r="N552" s="109" t="s">
        <v>74</v>
      </c>
    </row>
    <row r="553" spans="1:14" s="107" customFormat="1" ht="31.5" customHeight="1">
      <c r="A553" s="114" t="s">
        <v>236</v>
      </c>
      <c r="B553" s="489"/>
      <c r="C553" s="489">
        <v>152</v>
      </c>
      <c r="D553" s="489">
        <v>901160000</v>
      </c>
      <c r="E553" s="489"/>
      <c r="F553" s="489">
        <v>152</v>
      </c>
      <c r="G553" s="500" t="s">
        <v>526</v>
      </c>
      <c r="H553" s="491">
        <f t="shared" si="38"/>
        <v>129583</v>
      </c>
      <c r="I553" s="501">
        <v>0</v>
      </c>
      <c r="J553" s="486">
        <v>129583</v>
      </c>
      <c r="K553" s="112"/>
      <c r="L553" s="109"/>
      <c r="M553" s="109"/>
      <c r="N553" s="109"/>
    </row>
    <row r="554" spans="1:14" s="107" customFormat="1" ht="31.5" customHeight="1">
      <c r="A554" s="114" t="s">
        <v>829</v>
      </c>
      <c r="B554" s="489"/>
      <c r="C554" s="489">
        <v>152</v>
      </c>
      <c r="D554" s="489">
        <v>901830000</v>
      </c>
      <c r="E554" s="489"/>
      <c r="F554" s="489">
        <v>152</v>
      </c>
      <c r="G554" s="500" t="s">
        <v>526</v>
      </c>
      <c r="H554" s="491">
        <f t="shared" si="38"/>
        <v>68595.97</v>
      </c>
      <c r="I554" s="501">
        <v>0</v>
      </c>
      <c r="J554" s="486">
        <v>68595.97</v>
      </c>
      <c r="K554" s="112"/>
      <c r="L554" s="109"/>
      <c r="M554" s="109"/>
      <c r="N554" s="109"/>
    </row>
    <row r="555" spans="1:14" s="107" customFormat="1" ht="31.5" customHeight="1">
      <c r="A555" s="114" t="s">
        <v>831</v>
      </c>
      <c r="B555" s="489"/>
      <c r="C555" s="489">
        <v>152</v>
      </c>
      <c r="D555" s="489">
        <v>901140000</v>
      </c>
      <c r="E555" s="489"/>
      <c r="F555" s="489">
        <v>152</v>
      </c>
      <c r="G555" s="500" t="s">
        <v>526</v>
      </c>
      <c r="H555" s="491">
        <f t="shared" si="38"/>
        <v>56596</v>
      </c>
      <c r="I555" s="501">
        <v>0</v>
      </c>
      <c r="J555" s="486">
        <v>56596</v>
      </c>
      <c r="K555" s="112"/>
      <c r="L555" s="109" t="s">
        <v>74</v>
      </c>
      <c r="M555" s="109" t="s">
        <v>74</v>
      </c>
      <c r="N555" s="109" t="s">
        <v>74</v>
      </c>
    </row>
    <row r="556" spans="1:14" s="107" customFormat="1" ht="31.5" customHeight="1">
      <c r="A556" s="114" t="s">
        <v>832</v>
      </c>
      <c r="B556" s="489"/>
      <c r="C556" s="489">
        <v>152</v>
      </c>
      <c r="D556" s="489">
        <v>901140000</v>
      </c>
      <c r="E556" s="489"/>
      <c r="F556" s="489">
        <v>152</v>
      </c>
      <c r="G556" s="500" t="s">
        <v>526</v>
      </c>
      <c r="H556" s="491">
        <f t="shared" si="38"/>
        <v>13862</v>
      </c>
      <c r="I556" s="501">
        <v>0</v>
      </c>
      <c r="J556" s="486">
        <v>13862</v>
      </c>
      <c r="K556" s="112"/>
      <c r="L556" s="109" t="s">
        <v>74</v>
      </c>
      <c r="M556" s="109" t="s">
        <v>74</v>
      </c>
      <c r="N556" s="109" t="s">
        <v>74</v>
      </c>
    </row>
    <row r="557" spans="1:14" s="107" customFormat="1" ht="31.5" customHeight="1">
      <c r="A557" s="114" t="s">
        <v>833</v>
      </c>
      <c r="B557" s="489"/>
      <c r="C557" s="489">
        <v>152</v>
      </c>
      <c r="D557" s="489">
        <v>901150000</v>
      </c>
      <c r="E557" s="489"/>
      <c r="F557" s="489">
        <v>152</v>
      </c>
      <c r="G557" s="500" t="s">
        <v>526</v>
      </c>
      <c r="H557" s="491">
        <f t="shared" si="38"/>
        <v>67915</v>
      </c>
      <c r="I557" s="501">
        <v>0</v>
      </c>
      <c r="J557" s="486">
        <v>67915</v>
      </c>
      <c r="K557" s="112"/>
      <c r="L557" s="109" t="s">
        <v>74</v>
      </c>
      <c r="M557" s="109" t="s">
        <v>74</v>
      </c>
      <c r="N557" s="109" t="s">
        <v>74</v>
      </c>
    </row>
    <row r="558" spans="1:14" s="107" customFormat="1" ht="31.5" customHeight="1">
      <c r="A558" s="114" t="s">
        <v>241</v>
      </c>
      <c r="B558" s="489"/>
      <c r="C558" s="489">
        <v>152</v>
      </c>
      <c r="D558" s="502">
        <v>901210000</v>
      </c>
      <c r="E558" s="489"/>
      <c r="F558" s="489">
        <v>152</v>
      </c>
      <c r="G558" s="492" t="s">
        <v>528</v>
      </c>
      <c r="H558" s="491">
        <f t="shared" si="38"/>
        <v>105533</v>
      </c>
      <c r="I558" s="501">
        <v>0</v>
      </c>
      <c r="J558" s="486">
        <v>105533</v>
      </c>
      <c r="K558" s="112"/>
      <c r="L558" s="109" t="s">
        <v>74</v>
      </c>
      <c r="M558" s="109" t="s">
        <v>74</v>
      </c>
      <c r="N558" s="109" t="s">
        <v>74</v>
      </c>
    </row>
    <row r="559" spans="1:14" s="107" customFormat="1" ht="31.5" customHeight="1">
      <c r="A559" s="114" t="s">
        <v>834</v>
      </c>
      <c r="B559" s="489"/>
      <c r="C559" s="489">
        <v>152</v>
      </c>
      <c r="D559" s="489">
        <v>901480000</v>
      </c>
      <c r="E559" s="489"/>
      <c r="F559" s="489">
        <v>152</v>
      </c>
      <c r="G559" s="500" t="s">
        <v>526</v>
      </c>
      <c r="H559" s="491">
        <f t="shared" si="38"/>
        <v>100000</v>
      </c>
      <c r="I559" s="501">
        <v>0</v>
      </c>
      <c r="J559" s="486">
        <v>100000</v>
      </c>
      <c r="K559" s="112"/>
      <c r="L559" s="109" t="s">
        <v>74</v>
      </c>
      <c r="M559" s="109" t="s">
        <v>74</v>
      </c>
      <c r="N559" s="109" t="s">
        <v>74</v>
      </c>
    </row>
    <row r="560" spans="1:14" s="107" customFormat="1" ht="31.5" customHeight="1">
      <c r="A560" s="114" t="s">
        <v>167</v>
      </c>
      <c r="B560" s="115">
        <v>150</v>
      </c>
      <c r="C560" s="115">
        <v>152</v>
      </c>
      <c r="D560" s="115">
        <v>901750000</v>
      </c>
      <c r="E560" s="115"/>
      <c r="F560" s="115">
        <v>152</v>
      </c>
      <c r="G560" s="122" t="s">
        <v>534</v>
      </c>
      <c r="H560" s="118">
        <f>J560+K560</f>
        <v>0</v>
      </c>
      <c r="I560" s="109"/>
      <c r="J560" s="125">
        <v>0</v>
      </c>
      <c r="K560" s="112"/>
      <c r="L560" s="109"/>
      <c r="M560" s="110"/>
      <c r="N560" s="110"/>
    </row>
    <row r="561" spans="1:14" s="128" customFormat="1" ht="18" customHeight="1">
      <c r="A561" s="114" t="s">
        <v>210</v>
      </c>
      <c r="B561" s="115">
        <v>160</v>
      </c>
      <c r="C561" s="115">
        <v>180</v>
      </c>
      <c r="D561" s="116" t="s">
        <v>521</v>
      </c>
      <c r="E561" s="115"/>
      <c r="F561" s="115">
        <v>180</v>
      </c>
      <c r="G561" s="117" t="s">
        <v>363</v>
      </c>
      <c r="H561" s="118">
        <f aca="true" t="shared" si="39" ref="H561:H567">M561</f>
        <v>0</v>
      </c>
      <c r="I561" s="115" t="s">
        <v>74</v>
      </c>
      <c r="J561" s="115" t="s">
        <v>74</v>
      </c>
      <c r="K561" s="115" t="s">
        <v>74</v>
      </c>
      <c r="L561" s="115" t="s">
        <v>74</v>
      </c>
      <c r="M561" s="118">
        <f>M562+M563</f>
        <v>0</v>
      </c>
      <c r="N561" s="118">
        <f>N562+N563</f>
        <v>0</v>
      </c>
    </row>
    <row r="562" spans="1:14" s="128" customFormat="1" ht="15" customHeight="1">
      <c r="A562" s="135" t="s">
        <v>133</v>
      </c>
      <c r="B562" s="115"/>
      <c r="C562" s="115">
        <v>189</v>
      </c>
      <c r="D562" s="116" t="s">
        <v>521</v>
      </c>
      <c r="E562" s="115"/>
      <c r="F562" s="115">
        <v>189</v>
      </c>
      <c r="G562" s="117" t="s">
        <v>363</v>
      </c>
      <c r="H562" s="118">
        <f t="shared" si="39"/>
        <v>0</v>
      </c>
      <c r="I562" s="118"/>
      <c r="J562" s="118"/>
      <c r="K562" s="119"/>
      <c r="L562" s="123"/>
      <c r="M562" s="118"/>
      <c r="N562" s="118"/>
    </row>
    <row r="563" spans="1:14" s="128" customFormat="1" ht="15" customHeight="1">
      <c r="A563" s="135" t="s">
        <v>134</v>
      </c>
      <c r="B563" s="115"/>
      <c r="C563" s="115">
        <v>189</v>
      </c>
      <c r="D563" s="116" t="s">
        <v>521</v>
      </c>
      <c r="E563" s="115"/>
      <c r="F563" s="115">
        <v>189</v>
      </c>
      <c r="G563" s="117" t="s">
        <v>363</v>
      </c>
      <c r="H563" s="118">
        <f t="shared" si="39"/>
        <v>0</v>
      </c>
      <c r="I563" s="118"/>
      <c r="J563" s="118"/>
      <c r="K563" s="119"/>
      <c r="L563" s="123"/>
      <c r="M563" s="118"/>
      <c r="N563" s="118"/>
    </row>
    <row r="564" spans="1:14" s="128" customFormat="1" ht="23.25" customHeight="1">
      <c r="A564" s="114" t="s">
        <v>211</v>
      </c>
      <c r="B564" s="115">
        <v>180</v>
      </c>
      <c r="C564" s="115">
        <v>400</v>
      </c>
      <c r="D564" s="116" t="s">
        <v>521</v>
      </c>
      <c r="E564" s="115" t="s">
        <v>74</v>
      </c>
      <c r="F564" s="115">
        <v>400</v>
      </c>
      <c r="G564" s="117" t="s">
        <v>363</v>
      </c>
      <c r="H564" s="118">
        <f t="shared" si="39"/>
        <v>0</v>
      </c>
      <c r="I564" s="115" t="s">
        <v>74</v>
      </c>
      <c r="J564" s="115" t="s">
        <v>74</v>
      </c>
      <c r="K564" s="115" t="s">
        <v>74</v>
      </c>
      <c r="L564" s="115" t="s">
        <v>74</v>
      </c>
      <c r="M564" s="118">
        <f>M565+M566+M567+M569+M568</f>
        <v>0</v>
      </c>
      <c r="N564" s="115" t="s">
        <v>74</v>
      </c>
    </row>
    <row r="565" spans="1:14" s="128" customFormat="1" ht="23.25" customHeight="1">
      <c r="A565" s="136" t="s">
        <v>374</v>
      </c>
      <c r="B565" s="115"/>
      <c r="C565" s="115">
        <v>410</v>
      </c>
      <c r="D565" s="116" t="s">
        <v>521</v>
      </c>
      <c r="E565" s="115"/>
      <c r="F565" s="115">
        <v>410</v>
      </c>
      <c r="G565" s="117" t="s">
        <v>363</v>
      </c>
      <c r="H565" s="118">
        <f t="shared" si="39"/>
        <v>0</v>
      </c>
      <c r="I565" s="118"/>
      <c r="J565" s="118"/>
      <c r="K565" s="119"/>
      <c r="L565" s="123"/>
      <c r="M565" s="118"/>
      <c r="N565" s="118"/>
    </row>
    <row r="566" spans="1:14" s="128" customFormat="1" ht="23.25" customHeight="1">
      <c r="A566" s="136" t="s">
        <v>375</v>
      </c>
      <c r="B566" s="115"/>
      <c r="C566" s="115">
        <v>420</v>
      </c>
      <c r="D566" s="116" t="s">
        <v>521</v>
      </c>
      <c r="E566" s="115"/>
      <c r="F566" s="115">
        <v>420</v>
      </c>
      <c r="G566" s="117" t="s">
        <v>363</v>
      </c>
      <c r="H566" s="118">
        <f t="shared" si="39"/>
        <v>0</v>
      </c>
      <c r="I566" s="118"/>
      <c r="J566" s="118"/>
      <c r="K566" s="119"/>
      <c r="L566" s="123"/>
      <c r="M566" s="118"/>
      <c r="N566" s="118"/>
    </row>
    <row r="567" spans="1:14" s="128" customFormat="1" ht="23.25" customHeight="1">
      <c r="A567" s="136" t="s">
        <v>376</v>
      </c>
      <c r="B567" s="115"/>
      <c r="C567" s="115">
        <v>430</v>
      </c>
      <c r="D567" s="116" t="s">
        <v>521</v>
      </c>
      <c r="E567" s="115"/>
      <c r="F567" s="115">
        <v>430</v>
      </c>
      <c r="G567" s="117" t="s">
        <v>363</v>
      </c>
      <c r="H567" s="118">
        <f t="shared" si="39"/>
        <v>0</v>
      </c>
      <c r="I567" s="118"/>
      <c r="J567" s="118"/>
      <c r="K567" s="119"/>
      <c r="L567" s="123"/>
      <c r="M567" s="118"/>
      <c r="N567" s="118"/>
    </row>
    <row r="568" spans="1:14" s="121" customFormat="1" ht="23.25" customHeight="1">
      <c r="A568" s="136" t="s">
        <v>425</v>
      </c>
      <c r="B568" s="115"/>
      <c r="C568" s="115">
        <v>440</v>
      </c>
      <c r="D568" s="116" t="s">
        <v>521</v>
      </c>
      <c r="E568" s="115"/>
      <c r="F568" s="115">
        <v>440</v>
      </c>
      <c r="G568" s="117" t="s">
        <v>363</v>
      </c>
      <c r="H568" s="118">
        <f>M568</f>
        <v>0</v>
      </c>
      <c r="I568" s="118"/>
      <c r="J568" s="118"/>
      <c r="K568" s="119"/>
      <c r="L568" s="123"/>
      <c r="M568" s="118"/>
      <c r="N568" s="118"/>
    </row>
    <row r="569" spans="1:14" s="128" customFormat="1" ht="23.25" customHeight="1">
      <c r="A569" s="136" t="s">
        <v>377</v>
      </c>
      <c r="B569" s="115"/>
      <c r="C569" s="115">
        <v>450</v>
      </c>
      <c r="D569" s="116" t="s">
        <v>521</v>
      </c>
      <c r="E569" s="115"/>
      <c r="F569" s="115">
        <v>450</v>
      </c>
      <c r="G569" s="117" t="s">
        <v>363</v>
      </c>
      <c r="H569" s="118">
        <f>M569</f>
        <v>0</v>
      </c>
      <c r="I569" s="118"/>
      <c r="J569" s="118"/>
      <c r="K569" s="119"/>
      <c r="L569" s="123"/>
      <c r="M569" s="118"/>
      <c r="N569" s="118"/>
    </row>
    <row r="570" spans="1:14" s="8" customFormat="1" ht="11.25" customHeight="1">
      <c r="A570" s="137" t="s">
        <v>44</v>
      </c>
      <c r="B570" s="138">
        <v>200</v>
      </c>
      <c r="C570" s="138"/>
      <c r="D570" s="138"/>
      <c r="E570" s="138"/>
      <c r="F570" s="139"/>
      <c r="G570" s="139"/>
      <c r="H570" s="140">
        <f aca="true" t="shared" si="40" ref="H570:N570">H572+H595+H606+H622+H623+H627</f>
        <v>63884254.97</v>
      </c>
      <c r="I570" s="140">
        <f t="shared" si="40"/>
        <v>49432260.64</v>
      </c>
      <c r="J570" s="140">
        <f>J572+J595+J606+J622+J623+J627</f>
        <v>906467.97</v>
      </c>
      <c r="K570" s="140">
        <f t="shared" si="40"/>
        <v>0</v>
      </c>
      <c r="L570" s="140">
        <f t="shared" si="40"/>
        <v>0</v>
      </c>
      <c r="M570" s="140">
        <f>M572+M606+M627</f>
        <v>13545526.36</v>
      </c>
      <c r="N570" s="140">
        <f t="shared" si="40"/>
        <v>0</v>
      </c>
    </row>
    <row r="571" spans="1:14" s="8" customFormat="1" ht="13.5" customHeight="1">
      <c r="A571" s="141" t="s">
        <v>4</v>
      </c>
      <c r="B571" s="109"/>
      <c r="C571" s="109"/>
      <c r="D571" s="109"/>
      <c r="E571" s="109"/>
      <c r="F571" s="109"/>
      <c r="G571" s="110"/>
      <c r="H571" s="125"/>
      <c r="I571" s="125"/>
      <c r="J571" s="125"/>
      <c r="K571" s="113"/>
      <c r="L571" s="113"/>
      <c r="M571" s="113"/>
      <c r="N571" s="113"/>
    </row>
    <row r="572" spans="1:14" s="8" customFormat="1" ht="13.5" customHeight="1">
      <c r="A572" s="141" t="s">
        <v>296</v>
      </c>
      <c r="B572" s="109">
        <v>210</v>
      </c>
      <c r="C572" s="109"/>
      <c r="D572" s="109"/>
      <c r="E572" s="109"/>
      <c r="F572" s="109"/>
      <c r="G572" s="110"/>
      <c r="H572" s="125">
        <f>H574</f>
        <v>41339248.49</v>
      </c>
      <c r="I572" s="125">
        <f>I574+I585</f>
        <v>36305946.660000004</v>
      </c>
      <c r="J572" s="125">
        <f>J574</f>
        <v>662561.97</v>
      </c>
      <c r="K572" s="125">
        <f>K574</f>
        <v>0</v>
      </c>
      <c r="L572" s="125">
        <f>L574</f>
        <v>0</v>
      </c>
      <c r="M572" s="125">
        <f>M574</f>
        <v>4370739.859999999</v>
      </c>
      <c r="N572" s="125">
        <f>N574</f>
        <v>0</v>
      </c>
    </row>
    <row r="573" spans="1:14" s="8" customFormat="1" ht="13.5" customHeight="1">
      <c r="A573" s="142" t="s">
        <v>3</v>
      </c>
      <c r="B573" s="115"/>
      <c r="C573" s="115"/>
      <c r="D573" s="115"/>
      <c r="E573" s="115"/>
      <c r="F573" s="115"/>
      <c r="G573" s="122"/>
      <c r="H573" s="118"/>
      <c r="I573" s="125"/>
      <c r="J573" s="125"/>
      <c r="K573" s="113"/>
      <c r="L573" s="113"/>
      <c r="M573" s="113"/>
      <c r="N573" s="113"/>
    </row>
    <row r="574" spans="1:14" s="8" customFormat="1" ht="25.5" customHeight="1">
      <c r="A574" s="142" t="s">
        <v>297</v>
      </c>
      <c r="B574" s="115">
        <v>211</v>
      </c>
      <c r="C574" s="115"/>
      <c r="D574" s="115"/>
      <c r="E574" s="115"/>
      <c r="F574" s="115"/>
      <c r="G574" s="122"/>
      <c r="H574" s="118">
        <f>SUM(H576:H593)</f>
        <v>41339248.49</v>
      </c>
      <c r="I574" s="125">
        <f>I576+I584+I586+I587+I577+I578+I588+I589</f>
        <v>36304566.660000004</v>
      </c>
      <c r="J574" s="125">
        <f>SUM(J576:J592)</f>
        <v>662561.97</v>
      </c>
      <c r="K574" s="125">
        <f>K576+K584+K586+K587</f>
        <v>0</v>
      </c>
      <c r="L574" s="125">
        <f>L576+L584+L586+L587</f>
        <v>0</v>
      </c>
      <c r="M574" s="125">
        <f>SUM(M576:M594)</f>
        <v>4370739.859999999</v>
      </c>
      <c r="N574" s="125">
        <f>N576+N584+N586+N587</f>
        <v>0</v>
      </c>
    </row>
    <row r="575" spans="1:14" s="8" customFormat="1" ht="16.5" customHeight="1">
      <c r="A575" s="142" t="s">
        <v>4</v>
      </c>
      <c r="B575" s="115"/>
      <c r="C575" s="115"/>
      <c r="D575" s="115"/>
      <c r="E575" s="115"/>
      <c r="F575" s="115"/>
      <c r="G575" s="122"/>
      <c r="H575" s="118"/>
      <c r="I575" s="125"/>
      <c r="J575" s="125"/>
      <c r="K575" s="113"/>
      <c r="L575" s="113"/>
      <c r="M575" s="113"/>
      <c r="N575" s="113"/>
    </row>
    <row r="576" spans="1:14" s="8" customFormat="1" ht="16.5" customHeight="1">
      <c r="A576" s="142" t="s">
        <v>298</v>
      </c>
      <c r="B576" s="115"/>
      <c r="C576" s="115">
        <v>211</v>
      </c>
      <c r="D576" s="115">
        <v>800000000</v>
      </c>
      <c r="E576" s="115">
        <v>111</v>
      </c>
      <c r="F576" s="115">
        <v>211</v>
      </c>
      <c r="G576" s="102" t="s">
        <v>523</v>
      </c>
      <c r="H576" s="118">
        <f aca="true" t="shared" si="41" ref="H576:H581">I576+J576+K576+L576+M576+N576</f>
        <v>19814428.33</v>
      </c>
      <c r="I576" s="125">
        <f>17923864.13+1890564.2</f>
        <v>19814428.33</v>
      </c>
      <c r="J576" s="125"/>
      <c r="K576" s="113"/>
      <c r="L576" s="113"/>
      <c r="M576" s="113"/>
      <c r="N576" s="113"/>
    </row>
    <row r="577" spans="1:14" s="8" customFormat="1" ht="16.5" customHeight="1">
      <c r="A577" s="142" t="s">
        <v>298</v>
      </c>
      <c r="B577" s="487"/>
      <c r="C577" s="487">
        <v>211</v>
      </c>
      <c r="D577" s="489">
        <v>800000000</v>
      </c>
      <c r="E577" s="487">
        <v>111</v>
      </c>
      <c r="F577" s="487">
        <v>211</v>
      </c>
      <c r="G577" s="490" t="s">
        <v>823</v>
      </c>
      <c r="H577" s="491">
        <f t="shared" si="41"/>
        <v>8069263.48</v>
      </c>
      <c r="I577" s="486">
        <v>8069263.48</v>
      </c>
      <c r="J577" s="125"/>
      <c r="K577" s="113"/>
      <c r="L577" s="113"/>
      <c r="M577" s="113"/>
      <c r="N577" s="113"/>
    </row>
    <row r="578" spans="1:14" s="8" customFormat="1" ht="16.5" customHeight="1">
      <c r="A578" s="142" t="s">
        <v>298</v>
      </c>
      <c r="B578" s="487"/>
      <c r="C578" s="487">
        <v>211</v>
      </c>
      <c r="D578" s="489">
        <v>800000000</v>
      </c>
      <c r="E578" s="487">
        <v>111</v>
      </c>
      <c r="F578" s="487">
        <v>211</v>
      </c>
      <c r="G578" s="490" t="s">
        <v>523</v>
      </c>
      <c r="H578" s="491">
        <f t="shared" si="41"/>
        <v>0</v>
      </c>
      <c r="I578" s="486"/>
      <c r="J578" s="125"/>
      <c r="K578" s="113"/>
      <c r="L578" s="113"/>
      <c r="M578" s="113"/>
      <c r="N578" s="113"/>
    </row>
    <row r="579" spans="1:14" s="8" customFormat="1" ht="16.5" customHeight="1">
      <c r="A579" s="142" t="s">
        <v>298</v>
      </c>
      <c r="B579" s="487"/>
      <c r="C579" s="487">
        <v>211</v>
      </c>
      <c r="D579" s="489">
        <v>901480000</v>
      </c>
      <c r="E579" s="487">
        <v>111</v>
      </c>
      <c r="F579" s="487">
        <v>211</v>
      </c>
      <c r="G579" s="500" t="s">
        <v>523</v>
      </c>
      <c r="H579" s="491">
        <f t="shared" si="41"/>
        <v>279864.68</v>
      </c>
      <c r="I579" s="485">
        <v>0</v>
      </c>
      <c r="J579" s="486">
        <v>279864.68</v>
      </c>
      <c r="K579" s="113"/>
      <c r="L579" s="113"/>
      <c r="M579" s="113"/>
      <c r="N579" s="113"/>
    </row>
    <row r="580" spans="1:14" s="8" customFormat="1" ht="16.5" customHeight="1">
      <c r="A580" s="142" t="s">
        <v>298</v>
      </c>
      <c r="B580" s="487"/>
      <c r="C580" s="487">
        <v>211</v>
      </c>
      <c r="D580" s="489">
        <v>901160000</v>
      </c>
      <c r="E580" s="487">
        <v>111</v>
      </c>
      <c r="F580" s="487">
        <v>211</v>
      </c>
      <c r="G580" s="500" t="s">
        <v>523</v>
      </c>
      <c r="H580" s="491">
        <f t="shared" si="41"/>
        <v>99526.11</v>
      </c>
      <c r="I580" s="485">
        <v>0</v>
      </c>
      <c r="J580" s="486">
        <v>99526.11</v>
      </c>
      <c r="K580" s="113"/>
      <c r="L580" s="113"/>
      <c r="M580" s="113"/>
      <c r="N580" s="113"/>
    </row>
    <row r="581" spans="1:14" s="8" customFormat="1" ht="16.5" customHeight="1">
      <c r="A581" s="142" t="s">
        <v>298</v>
      </c>
      <c r="B581" s="487"/>
      <c r="C581" s="487">
        <v>211</v>
      </c>
      <c r="D581" s="489">
        <v>901830000</v>
      </c>
      <c r="E581" s="487">
        <v>111</v>
      </c>
      <c r="F581" s="487">
        <v>211</v>
      </c>
      <c r="G581" s="500" t="s">
        <v>523</v>
      </c>
      <c r="H581" s="491">
        <f t="shared" si="41"/>
        <v>52685.08</v>
      </c>
      <c r="I581" s="485">
        <v>0</v>
      </c>
      <c r="J581" s="486">
        <v>52685.08</v>
      </c>
      <c r="K581" s="113"/>
      <c r="L581" s="113"/>
      <c r="M581" s="113"/>
      <c r="N581" s="113"/>
    </row>
    <row r="582" spans="1:14" s="8" customFormat="1" ht="16.5" customHeight="1">
      <c r="A582" s="142" t="s">
        <v>298</v>
      </c>
      <c r="B582" s="115"/>
      <c r="C582" s="115">
        <v>211</v>
      </c>
      <c r="D582" s="116" t="s">
        <v>521</v>
      </c>
      <c r="E582" s="115">
        <v>111</v>
      </c>
      <c r="F582" s="115">
        <v>211</v>
      </c>
      <c r="G582" s="102" t="s">
        <v>530</v>
      </c>
      <c r="H582" s="118">
        <f>SUM(I582:M582)</f>
        <v>3356945.7699999996</v>
      </c>
      <c r="I582" s="125"/>
      <c r="J582" s="125"/>
      <c r="K582" s="113"/>
      <c r="L582" s="113"/>
      <c r="M582" s="113">
        <f>2128645.86+1228299.91</f>
        <v>3356945.7699999996</v>
      </c>
      <c r="N582" s="113"/>
    </row>
    <row r="583" spans="1:14" s="8" customFormat="1" ht="16.5" customHeight="1" hidden="1">
      <c r="A583" s="142" t="s">
        <v>298</v>
      </c>
      <c r="B583" s="487"/>
      <c r="C583" s="489">
        <v>211</v>
      </c>
      <c r="D583" s="488" t="s">
        <v>521</v>
      </c>
      <c r="E583" s="489">
        <v>111</v>
      </c>
      <c r="F583" s="489">
        <v>211</v>
      </c>
      <c r="G583" s="494" t="s">
        <v>530</v>
      </c>
      <c r="H583" s="491">
        <f aca="true" t="shared" si="42" ref="H583:H592">I583+J583+K583+L583+M583+N583</f>
        <v>0</v>
      </c>
      <c r="I583" s="485">
        <v>0</v>
      </c>
      <c r="J583" s="485">
        <v>0</v>
      </c>
      <c r="K583" s="113">
        <v>0</v>
      </c>
      <c r="L583" s="113">
        <v>0</v>
      </c>
      <c r="M583" s="497"/>
      <c r="N583" s="113"/>
    </row>
    <row r="584" spans="1:14" s="8" customFormat="1" ht="16.5" customHeight="1">
      <c r="A584" s="142" t="s">
        <v>299</v>
      </c>
      <c r="B584" s="115"/>
      <c r="C584" s="115">
        <v>211</v>
      </c>
      <c r="D584" s="115"/>
      <c r="E584" s="115">
        <v>111</v>
      </c>
      <c r="F584" s="115">
        <v>211</v>
      </c>
      <c r="G584" s="122"/>
      <c r="H584" s="118">
        <f t="shared" si="42"/>
        <v>0</v>
      </c>
      <c r="I584" s="125"/>
      <c r="J584" s="125"/>
      <c r="K584" s="113"/>
      <c r="L584" s="113"/>
      <c r="M584" s="113"/>
      <c r="N584" s="113"/>
    </row>
    <row r="585" spans="1:14" s="8" customFormat="1" ht="16.5" customHeight="1">
      <c r="A585" s="142" t="s">
        <v>300</v>
      </c>
      <c r="B585" s="487"/>
      <c r="C585" s="489">
        <v>266</v>
      </c>
      <c r="D585" s="489">
        <v>800000000</v>
      </c>
      <c r="E585" s="489">
        <v>112</v>
      </c>
      <c r="F585" s="489">
        <v>266</v>
      </c>
      <c r="G585" s="490" t="s">
        <v>823</v>
      </c>
      <c r="H585" s="491">
        <f t="shared" si="42"/>
        <v>1380</v>
      </c>
      <c r="I585" s="486">
        <f>690*2</f>
        <v>1380</v>
      </c>
      <c r="J585" s="125"/>
      <c r="K585" s="113"/>
      <c r="L585" s="113"/>
      <c r="M585" s="113"/>
      <c r="N585" s="113"/>
    </row>
    <row r="586" spans="1:14" s="8" customFormat="1" ht="54" customHeight="1">
      <c r="A586" s="142" t="s">
        <v>840</v>
      </c>
      <c r="B586" s="487"/>
      <c r="C586" s="489">
        <v>266</v>
      </c>
      <c r="D586" s="489">
        <v>901480000</v>
      </c>
      <c r="E586" s="489">
        <v>112</v>
      </c>
      <c r="F586" s="489">
        <v>266</v>
      </c>
      <c r="G586" s="500" t="s">
        <v>523</v>
      </c>
      <c r="H586" s="491">
        <f t="shared" si="42"/>
        <v>100000</v>
      </c>
      <c r="I586" s="485">
        <v>0</v>
      </c>
      <c r="J586" s="486">
        <v>100000</v>
      </c>
      <c r="K586" s="113"/>
      <c r="L586" s="113"/>
      <c r="M586" s="113"/>
      <c r="N586" s="113"/>
    </row>
    <row r="587" spans="1:14" s="8" customFormat="1" ht="15.75" customHeight="1">
      <c r="A587" s="142" t="s">
        <v>301</v>
      </c>
      <c r="B587" s="115"/>
      <c r="C587" s="115">
        <v>213</v>
      </c>
      <c r="D587" s="115">
        <v>800000000</v>
      </c>
      <c r="E587" s="115">
        <v>119</v>
      </c>
      <c r="F587" s="115">
        <v>213</v>
      </c>
      <c r="G587" s="102" t="s">
        <v>523</v>
      </c>
      <c r="H587" s="118">
        <f t="shared" si="42"/>
        <v>5934918.67</v>
      </c>
      <c r="I587" s="125">
        <f>5413006.97+521911.7</f>
        <v>5934918.67</v>
      </c>
      <c r="J587" s="125"/>
      <c r="K587" s="113"/>
      <c r="L587" s="113"/>
      <c r="M587" s="113"/>
      <c r="N587" s="113"/>
    </row>
    <row r="588" spans="1:14" s="8" customFormat="1" ht="15.75" customHeight="1">
      <c r="A588" s="142" t="s">
        <v>301</v>
      </c>
      <c r="B588" s="487"/>
      <c r="C588" s="489">
        <v>213</v>
      </c>
      <c r="D588" s="489">
        <v>800000000</v>
      </c>
      <c r="E588" s="489">
        <v>119</v>
      </c>
      <c r="F588" s="489">
        <v>213</v>
      </c>
      <c r="G588" s="490" t="s">
        <v>523</v>
      </c>
      <c r="H588" s="491">
        <f t="shared" si="42"/>
        <v>2485956.18</v>
      </c>
      <c r="I588" s="486">
        <v>2485956.18</v>
      </c>
      <c r="J588" s="125"/>
      <c r="K588" s="113"/>
      <c r="L588" s="113"/>
      <c r="M588" s="113"/>
      <c r="N588" s="113"/>
    </row>
    <row r="589" spans="1:14" s="8" customFormat="1" ht="15.75" customHeight="1">
      <c r="A589" s="142" t="s">
        <v>301</v>
      </c>
      <c r="B589" s="487"/>
      <c r="C589" s="487">
        <v>213</v>
      </c>
      <c r="D589" s="489">
        <v>800000000</v>
      </c>
      <c r="E589" s="487">
        <v>119</v>
      </c>
      <c r="F589" s="487">
        <v>213</v>
      </c>
      <c r="G589" s="490" t="s">
        <v>523</v>
      </c>
      <c r="H589" s="491">
        <f t="shared" si="42"/>
        <v>0</v>
      </c>
      <c r="I589" s="486"/>
      <c r="J589" s="125"/>
      <c r="K589" s="113"/>
      <c r="L589" s="113"/>
      <c r="M589" s="113"/>
      <c r="N589" s="113"/>
    </row>
    <row r="590" spans="1:14" s="8" customFormat="1" ht="15.75" customHeight="1">
      <c r="A590" s="142" t="s">
        <v>301</v>
      </c>
      <c r="B590" s="487"/>
      <c r="C590" s="489">
        <v>213</v>
      </c>
      <c r="D590" s="489">
        <v>901480000</v>
      </c>
      <c r="E590" s="489">
        <v>119</v>
      </c>
      <c r="F590" s="489">
        <v>213</v>
      </c>
      <c r="G590" s="500" t="s">
        <v>523</v>
      </c>
      <c r="H590" s="491">
        <f t="shared" si="42"/>
        <v>84518.32</v>
      </c>
      <c r="I590" s="485">
        <v>0</v>
      </c>
      <c r="J590" s="486">
        <v>84518.32</v>
      </c>
      <c r="K590" s="113"/>
      <c r="L590" s="113"/>
      <c r="M590" s="113"/>
      <c r="N590" s="113"/>
    </row>
    <row r="591" spans="1:14" s="8" customFormat="1" ht="15.75" customHeight="1">
      <c r="A591" s="142" t="s">
        <v>301</v>
      </c>
      <c r="B591" s="487"/>
      <c r="C591" s="489">
        <v>213</v>
      </c>
      <c r="D591" s="489">
        <v>901160000</v>
      </c>
      <c r="E591" s="489">
        <v>119</v>
      </c>
      <c r="F591" s="489">
        <v>213</v>
      </c>
      <c r="G591" s="500" t="s">
        <v>523</v>
      </c>
      <c r="H591" s="491">
        <f t="shared" si="42"/>
        <v>30056.89</v>
      </c>
      <c r="I591" s="485">
        <v>0</v>
      </c>
      <c r="J591" s="486">
        <v>30056.89</v>
      </c>
      <c r="K591" s="113"/>
      <c r="L591" s="113"/>
      <c r="M591" s="113"/>
      <c r="N591" s="113"/>
    </row>
    <row r="592" spans="1:14" s="8" customFormat="1" ht="15.75" customHeight="1">
      <c r="A592" s="142" t="s">
        <v>301</v>
      </c>
      <c r="B592" s="487"/>
      <c r="C592" s="489">
        <v>213</v>
      </c>
      <c r="D592" s="489">
        <v>901830000</v>
      </c>
      <c r="E592" s="489">
        <v>119</v>
      </c>
      <c r="F592" s="489">
        <v>213</v>
      </c>
      <c r="G592" s="500" t="s">
        <v>523</v>
      </c>
      <c r="H592" s="491">
        <f t="shared" si="42"/>
        <v>15910.89</v>
      </c>
      <c r="I592" s="485">
        <v>0</v>
      </c>
      <c r="J592" s="486">
        <v>15910.89</v>
      </c>
      <c r="K592" s="113"/>
      <c r="L592" s="113"/>
      <c r="M592" s="113"/>
      <c r="N592" s="113"/>
    </row>
    <row r="593" spans="1:14" s="8" customFormat="1" ht="15.75" customHeight="1">
      <c r="A593" s="142" t="s">
        <v>301</v>
      </c>
      <c r="B593" s="115"/>
      <c r="C593" s="115">
        <v>213</v>
      </c>
      <c r="D593" s="116" t="s">
        <v>521</v>
      </c>
      <c r="E593" s="115">
        <v>119</v>
      </c>
      <c r="F593" s="115">
        <v>213</v>
      </c>
      <c r="G593" s="102" t="s">
        <v>530</v>
      </c>
      <c r="H593" s="118">
        <f>SUM(I593:M593)</f>
        <v>1013794.0900000001</v>
      </c>
      <c r="I593" s="125"/>
      <c r="J593" s="125"/>
      <c r="K593" s="113"/>
      <c r="L593" s="113"/>
      <c r="M593" s="113">
        <f>642847.4+370946.69</f>
        <v>1013794.0900000001</v>
      </c>
      <c r="N593" s="113"/>
    </row>
    <row r="594" spans="1:14" s="8" customFormat="1" ht="15.75" customHeight="1" hidden="1">
      <c r="A594" s="142" t="s">
        <v>301</v>
      </c>
      <c r="B594" s="487"/>
      <c r="C594" s="487">
        <v>213</v>
      </c>
      <c r="D594" s="488" t="s">
        <v>521</v>
      </c>
      <c r="E594" s="487">
        <v>119</v>
      </c>
      <c r="F594" s="487">
        <v>213</v>
      </c>
      <c r="G594" s="494" t="s">
        <v>530</v>
      </c>
      <c r="H594" s="491">
        <f>I594+J594+K594+L594+M594+N594</f>
        <v>0</v>
      </c>
      <c r="I594" s="485">
        <v>0</v>
      </c>
      <c r="J594" s="485">
        <v>0</v>
      </c>
      <c r="K594" s="113">
        <v>0</v>
      </c>
      <c r="L594" s="113">
        <v>0</v>
      </c>
      <c r="M594" s="497"/>
      <c r="N594" s="113"/>
    </row>
    <row r="595" spans="1:14" s="8" customFormat="1" ht="18.75" customHeight="1">
      <c r="A595" s="142" t="s">
        <v>399</v>
      </c>
      <c r="B595" s="115">
        <v>220</v>
      </c>
      <c r="C595" s="115"/>
      <c r="D595" s="115"/>
      <c r="E595" s="115"/>
      <c r="F595" s="115"/>
      <c r="G595" s="115"/>
      <c r="H595" s="120">
        <f>SUM(I595:M595)</f>
        <v>243906</v>
      </c>
      <c r="I595" s="113">
        <f>I597+I602+I603+I604+I605</f>
        <v>0</v>
      </c>
      <c r="J595" s="113">
        <f>J598+J602</f>
        <v>243906</v>
      </c>
      <c r="K595" s="113">
        <f>K597+K602+K603+K604+K605</f>
        <v>0</v>
      </c>
      <c r="L595" s="113">
        <f>L597+L602+L603+L604+L605</f>
        <v>0</v>
      </c>
      <c r="M595" s="113">
        <f>M597+M602+M603+M604+M605</f>
        <v>0</v>
      </c>
      <c r="N595" s="113">
        <f>N597+N602+N603+N604+N605</f>
        <v>0</v>
      </c>
    </row>
    <row r="596" spans="1:14" s="8" customFormat="1" ht="15.75" customHeight="1">
      <c r="A596" s="142" t="s">
        <v>3</v>
      </c>
      <c r="B596" s="115"/>
      <c r="C596" s="115"/>
      <c r="D596" s="115"/>
      <c r="E596" s="115"/>
      <c r="F596" s="115"/>
      <c r="G596" s="122"/>
      <c r="H596" s="118"/>
      <c r="I596" s="125"/>
      <c r="J596" s="125"/>
      <c r="K596" s="113"/>
      <c r="L596" s="113"/>
      <c r="M596" s="113"/>
      <c r="N596" s="113"/>
    </row>
    <row r="597" spans="1:14" s="8" customFormat="1" ht="39" customHeight="1">
      <c r="A597" s="143" t="s">
        <v>302</v>
      </c>
      <c r="B597" s="144"/>
      <c r="C597" s="145">
        <v>263</v>
      </c>
      <c r="D597" s="115">
        <v>901140000</v>
      </c>
      <c r="E597" s="115">
        <v>323</v>
      </c>
      <c r="F597" s="145">
        <v>263</v>
      </c>
      <c r="G597" s="146" t="s">
        <v>523</v>
      </c>
      <c r="H597" s="118">
        <f aca="true" t="shared" si="43" ref="H597:H605">I597+J597+K597+L597+M597+N597</f>
        <v>0</v>
      </c>
      <c r="I597" s="125"/>
      <c r="J597" s="125">
        <v>0</v>
      </c>
      <c r="K597" s="113"/>
      <c r="L597" s="113"/>
      <c r="M597" s="113"/>
      <c r="N597" s="113"/>
    </row>
    <row r="598" spans="1:14" s="8" customFormat="1" ht="39" customHeight="1">
      <c r="A598" s="136" t="s">
        <v>39</v>
      </c>
      <c r="B598" s="487"/>
      <c r="C598" s="489">
        <v>263</v>
      </c>
      <c r="D598" s="489"/>
      <c r="E598" s="489">
        <v>323</v>
      </c>
      <c r="F598" s="489">
        <v>263</v>
      </c>
      <c r="G598" s="519"/>
      <c r="H598" s="491">
        <f t="shared" si="43"/>
        <v>230044</v>
      </c>
      <c r="I598" s="485">
        <v>0</v>
      </c>
      <c r="J598" s="486">
        <f>SUM(J599:J601)</f>
        <v>230044</v>
      </c>
      <c r="K598" s="113"/>
      <c r="L598" s="113"/>
      <c r="M598" s="113"/>
      <c r="N598" s="113"/>
    </row>
    <row r="599" spans="1:14" s="8" customFormat="1" ht="39" customHeight="1">
      <c r="A599" s="114" t="s">
        <v>831</v>
      </c>
      <c r="B599" s="487"/>
      <c r="C599" s="489">
        <v>263</v>
      </c>
      <c r="D599" s="489">
        <v>901140000</v>
      </c>
      <c r="E599" s="489">
        <v>323</v>
      </c>
      <c r="F599" s="489">
        <v>263</v>
      </c>
      <c r="G599" s="500" t="s">
        <v>523</v>
      </c>
      <c r="H599" s="491">
        <f t="shared" si="43"/>
        <v>56596</v>
      </c>
      <c r="I599" s="485">
        <v>0</v>
      </c>
      <c r="J599" s="486">
        <v>56596</v>
      </c>
      <c r="K599" s="113"/>
      <c r="L599" s="113"/>
      <c r="M599" s="113"/>
      <c r="N599" s="113"/>
    </row>
    <row r="600" spans="1:14" s="8" customFormat="1" ht="39" customHeight="1">
      <c r="A600" s="114" t="s">
        <v>833</v>
      </c>
      <c r="B600" s="487"/>
      <c r="C600" s="489">
        <v>263</v>
      </c>
      <c r="D600" s="489">
        <v>901150000</v>
      </c>
      <c r="E600" s="489">
        <v>323</v>
      </c>
      <c r="F600" s="489">
        <v>263</v>
      </c>
      <c r="G600" s="500" t="s">
        <v>523</v>
      </c>
      <c r="H600" s="491">
        <f t="shared" si="43"/>
        <v>67915</v>
      </c>
      <c r="I600" s="485">
        <v>0</v>
      </c>
      <c r="J600" s="486">
        <v>67915</v>
      </c>
      <c r="K600" s="113"/>
      <c r="L600" s="113"/>
      <c r="M600" s="113"/>
      <c r="N600" s="113"/>
    </row>
    <row r="601" spans="1:14" s="8" customFormat="1" ht="39" customHeight="1">
      <c r="A601" s="114" t="s">
        <v>241</v>
      </c>
      <c r="B601" s="487"/>
      <c r="C601" s="489">
        <v>263</v>
      </c>
      <c r="D601" s="502">
        <v>901210000</v>
      </c>
      <c r="E601" s="489">
        <v>323</v>
      </c>
      <c r="F601" s="489">
        <v>263</v>
      </c>
      <c r="G601" s="492" t="s">
        <v>518</v>
      </c>
      <c r="H601" s="491">
        <f t="shared" si="43"/>
        <v>105533</v>
      </c>
      <c r="I601" s="485">
        <v>0</v>
      </c>
      <c r="J601" s="486">
        <v>105533</v>
      </c>
      <c r="K601" s="113"/>
      <c r="L601" s="113"/>
      <c r="M601" s="113"/>
      <c r="N601" s="113"/>
    </row>
    <row r="602" spans="1:14" s="8" customFormat="1" ht="33.75" customHeight="1">
      <c r="A602" s="136" t="s">
        <v>39</v>
      </c>
      <c r="B602" s="115"/>
      <c r="C602" s="115">
        <v>262</v>
      </c>
      <c r="D602" s="115">
        <v>901140000</v>
      </c>
      <c r="E602" s="115">
        <v>321</v>
      </c>
      <c r="F602" s="115">
        <v>262</v>
      </c>
      <c r="G602" s="146" t="s">
        <v>523</v>
      </c>
      <c r="H602" s="118">
        <f t="shared" si="43"/>
        <v>13862</v>
      </c>
      <c r="I602" s="125"/>
      <c r="J602" s="160">
        <v>13862</v>
      </c>
      <c r="K602" s="113"/>
      <c r="L602" s="113"/>
      <c r="M602" s="113"/>
      <c r="N602" s="113"/>
    </row>
    <row r="603" spans="1:14" s="8" customFormat="1" ht="15.75" customHeight="1">
      <c r="A603" s="136" t="s">
        <v>303</v>
      </c>
      <c r="B603" s="115"/>
      <c r="C603" s="115"/>
      <c r="D603" s="115"/>
      <c r="E603" s="115"/>
      <c r="F603" s="115"/>
      <c r="G603" s="122"/>
      <c r="H603" s="118">
        <f t="shared" si="43"/>
        <v>0</v>
      </c>
      <c r="I603" s="125"/>
      <c r="J603" s="125"/>
      <c r="K603" s="113"/>
      <c r="L603" s="113"/>
      <c r="M603" s="113"/>
      <c r="N603" s="113"/>
    </row>
    <row r="604" spans="1:14" s="8" customFormat="1" ht="15.75" customHeight="1">
      <c r="A604" s="136" t="s">
        <v>304</v>
      </c>
      <c r="B604" s="115"/>
      <c r="C604" s="115">
        <v>290</v>
      </c>
      <c r="D604" s="115"/>
      <c r="E604" s="115">
        <v>350</v>
      </c>
      <c r="F604" s="115">
        <v>290</v>
      </c>
      <c r="G604" s="122"/>
      <c r="H604" s="118">
        <f t="shared" si="43"/>
        <v>0</v>
      </c>
      <c r="I604" s="125"/>
      <c r="J604" s="125"/>
      <c r="K604" s="113"/>
      <c r="L604" s="113"/>
      <c r="M604" s="113"/>
      <c r="N604" s="113"/>
    </row>
    <row r="605" spans="1:14" s="8" customFormat="1" ht="15.75" customHeight="1">
      <c r="A605" s="136" t="s">
        <v>305</v>
      </c>
      <c r="B605" s="115"/>
      <c r="C605" s="115"/>
      <c r="D605" s="115"/>
      <c r="E605" s="115"/>
      <c r="F605" s="115"/>
      <c r="G605" s="122"/>
      <c r="H605" s="118">
        <f t="shared" si="43"/>
        <v>0</v>
      </c>
      <c r="I605" s="125"/>
      <c r="J605" s="125"/>
      <c r="K605" s="113"/>
      <c r="L605" s="113"/>
      <c r="M605" s="113"/>
      <c r="N605" s="113"/>
    </row>
    <row r="606" spans="1:14" s="8" customFormat="1" ht="24.75" customHeight="1">
      <c r="A606" s="136" t="s">
        <v>306</v>
      </c>
      <c r="B606" s="115">
        <v>230</v>
      </c>
      <c r="C606" s="115"/>
      <c r="D606" s="115"/>
      <c r="E606" s="115"/>
      <c r="F606" s="115"/>
      <c r="G606" s="122"/>
      <c r="H606" s="118">
        <f aca="true" t="shared" si="44" ref="H606:N606">H607+H610</f>
        <v>4441633</v>
      </c>
      <c r="I606" s="125">
        <f t="shared" si="44"/>
        <v>4041887</v>
      </c>
      <c r="J606" s="125">
        <f t="shared" si="44"/>
        <v>0</v>
      </c>
      <c r="K606" s="125">
        <f t="shared" si="44"/>
        <v>0</v>
      </c>
      <c r="L606" s="125">
        <f t="shared" si="44"/>
        <v>0</v>
      </c>
      <c r="M606" s="125">
        <f t="shared" si="44"/>
        <v>399746</v>
      </c>
      <c r="N606" s="125">
        <f t="shared" si="44"/>
        <v>0</v>
      </c>
    </row>
    <row r="607" spans="1:14" s="8" customFormat="1" ht="15.75" customHeight="1">
      <c r="A607" s="142" t="s">
        <v>3</v>
      </c>
      <c r="B607" s="115"/>
      <c r="C607" s="115"/>
      <c r="D607" s="115"/>
      <c r="E607" s="115"/>
      <c r="F607" s="115"/>
      <c r="G607" s="122"/>
      <c r="H607" s="118">
        <f aca="true" t="shared" si="45" ref="H607:N607">H608+H609</f>
        <v>4441633</v>
      </c>
      <c r="I607" s="125">
        <f t="shared" si="45"/>
        <v>4041887</v>
      </c>
      <c r="J607" s="125">
        <f t="shared" si="45"/>
        <v>0</v>
      </c>
      <c r="K607" s="125">
        <f t="shared" si="45"/>
        <v>0</v>
      </c>
      <c r="L607" s="125">
        <f t="shared" si="45"/>
        <v>0</v>
      </c>
      <c r="M607" s="125">
        <f t="shared" si="45"/>
        <v>399746</v>
      </c>
      <c r="N607" s="125">
        <f t="shared" si="45"/>
        <v>0</v>
      </c>
    </row>
    <row r="608" spans="1:14" s="8" customFormat="1" ht="15.75" customHeight="1">
      <c r="A608" s="142" t="s">
        <v>307</v>
      </c>
      <c r="B608" s="115"/>
      <c r="C608" s="115">
        <v>290</v>
      </c>
      <c r="D608" s="115"/>
      <c r="E608" s="115">
        <v>831</v>
      </c>
      <c r="F608" s="115">
        <v>290</v>
      </c>
      <c r="G608" s="122"/>
      <c r="H608" s="118">
        <f>I608+J608+K608+L608+M608+N608</f>
        <v>0</v>
      </c>
      <c r="I608" s="125"/>
      <c r="J608" s="125"/>
      <c r="K608" s="113"/>
      <c r="L608" s="113"/>
      <c r="M608" s="113"/>
      <c r="N608" s="113"/>
    </row>
    <row r="609" spans="1:14" s="8" customFormat="1" ht="15.75" customHeight="1">
      <c r="A609" s="142" t="s">
        <v>308</v>
      </c>
      <c r="B609" s="115"/>
      <c r="C609" s="115">
        <v>290</v>
      </c>
      <c r="D609" s="115"/>
      <c r="E609" s="115">
        <v>850</v>
      </c>
      <c r="F609" s="115">
        <v>290</v>
      </c>
      <c r="G609" s="122"/>
      <c r="H609" s="118">
        <f>I609+J609+K609+L609+M609+N609</f>
        <v>4441633</v>
      </c>
      <c r="I609" s="125">
        <f aca="true" t="shared" si="46" ref="I609:N609">SUM(I611:I621)</f>
        <v>4041887</v>
      </c>
      <c r="J609" s="125">
        <f t="shared" si="46"/>
        <v>0</v>
      </c>
      <c r="K609" s="125">
        <f t="shared" si="46"/>
        <v>0</v>
      </c>
      <c r="L609" s="125">
        <f t="shared" si="46"/>
        <v>0</v>
      </c>
      <c r="M609" s="125">
        <f t="shared" si="46"/>
        <v>399746</v>
      </c>
      <c r="N609" s="125">
        <f t="shared" si="46"/>
        <v>0</v>
      </c>
    </row>
    <row r="610" spans="1:14" s="8" customFormat="1" ht="15.75" customHeight="1">
      <c r="A610" s="142" t="s">
        <v>4</v>
      </c>
      <c r="B610" s="115"/>
      <c r="C610" s="115"/>
      <c r="D610" s="115"/>
      <c r="E610" s="115"/>
      <c r="F610" s="115"/>
      <c r="G610" s="122"/>
      <c r="H610" s="118"/>
      <c r="I610" s="125"/>
      <c r="J610" s="125"/>
      <c r="K610" s="125"/>
      <c r="L610" s="125"/>
      <c r="M610" s="125"/>
      <c r="N610" s="125"/>
    </row>
    <row r="611" spans="1:14" s="8" customFormat="1" ht="26.25" customHeight="1">
      <c r="A611" s="142" t="s">
        <v>309</v>
      </c>
      <c r="B611" s="115"/>
      <c r="C611" s="115">
        <v>291</v>
      </c>
      <c r="D611" s="115">
        <v>800000000</v>
      </c>
      <c r="E611" s="115">
        <v>851</v>
      </c>
      <c r="F611" s="115">
        <v>291</v>
      </c>
      <c r="G611" s="102" t="s">
        <v>516</v>
      </c>
      <c r="H611" s="118">
        <f>I611+J611+K611+L611+M611+N611</f>
        <v>4041887</v>
      </c>
      <c r="I611" s="125">
        <f>2959713+1082174</f>
        <v>4041887</v>
      </c>
      <c r="J611" s="125"/>
      <c r="K611" s="113"/>
      <c r="L611" s="113"/>
      <c r="M611" s="113">
        <v>0</v>
      </c>
      <c r="N611" s="113"/>
    </row>
    <row r="612" spans="1:14" s="8" customFormat="1" ht="26.25" customHeight="1" hidden="1">
      <c r="A612" s="142" t="s">
        <v>309</v>
      </c>
      <c r="B612" s="487"/>
      <c r="C612" s="489">
        <v>291</v>
      </c>
      <c r="D612" s="489">
        <v>800000000</v>
      </c>
      <c r="E612" s="489">
        <v>851</v>
      </c>
      <c r="F612" s="489">
        <v>291</v>
      </c>
      <c r="G612" s="492" t="s">
        <v>516</v>
      </c>
      <c r="H612" s="491">
        <f>SUM(I612:N612)</f>
        <v>0</v>
      </c>
      <c r="I612" s="486"/>
      <c r="J612" s="125"/>
      <c r="K612" s="113"/>
      <c r="L612" s="113"/>
      <c r="M612" s="113"/>
      <c r="N612" s="113"/>
    </row>
    <row r="613" spans="1:14" s="8" customFormat="1" ht="26.25" customHeight="1">
      <c r="A613" s="142" t="s">
        <v>309</v>
      </c>
      <c r="B613" s="115"/>
      <c r="C613" s="115">
        <v>291</v>
      </c>
      <c r="D613" s="116" t="s">
        <v>521</v>
      </c>
      <c r="E613" s="115">
        <v>851</v>
      </c>
      <c r="F613" s="115">
        <v>291</v>
      </c>
      <c r="G613" s="102" t="s">
        <v>530</v>
      </c>
      <c r="H613" s="118">
        <f>I613+J613+K613+L613+M613+N613</f>
        <v>399746</v>
      </c>
      <c r="I613" s="125">
        <v>0</v>
      </c>
      <c r="J613" s="125"/>
      <c r="K613" s="113"/>
      <c r="L613" s="113"/>
      <c r="M613" s="113">
        <f>292718+107028</f>
        <v>399746</v>
      </c>
      <c r="N613" s="113"/>
    </row>
    <row r="614" spans="1:14" s="8" customFormat="1" ht="26.25" customHeight="1">
      <c r="A614" s="142" t="s">
        <v>309</v>
      </c>
      <c r="B614" s="487"/>
      <c r="C614" s="489">
        <v>291</v>
      </c>
      <c r="D614" s="488" t="s">
        <v>521</v>
      </c>
      <c r="E614" s="489">
        <v>851</v>
      </c>
      <c r="F614" s="489">
        <v>291</v>
      </c>
      <c r="G614" s="492" t="s">
        <v>530</v>
      </c>
      <c r="H614" s="491">
        <f>I614+J614+K614+L614+M614+N614</f>
        <v>0</v>
      </c>
      <c r="I614" s="485">
        <v>0</v>
      </c>
      <c r="J614" s="485">
        <v>0</v>
      </c>
      <c r="K614" s="113">
        <v>0</v>
      </c>
      <c r="L614" s="113">
        <v>0</v>
      </c>
      <c r="M614" s="497"/>
      <c r="N614" s="113"/>
    </row>
    <row r="615" spans="1:15" s="8" customFormat="1" ht="15" customHeight="1">
      <c r="A615" s="142" t="s">
        <v>357</v>
      </c>
      <c r="B615" s="115"/>
      <c r="C615" s="115">
        <v>291</v>
      </c>
      <c r="D615" s="115"/>
      <c r="E615" s="115">
        <v>852</v>
      </c>
      <c r="F615" s="115">
        <v>291</v>
      </c>
      <c r="G615" s="122"/>
      <c r="H615" s="118">
        <f aca="true" t="shared" si="47" ref="H615:H622">I615+J615+K615+L615+M615+N615</f>
        <v>0</v>
      </c>
      <c r="I615" s="125"/>
      <c r="J615" s="125"/>
      <c r="K615" s="113"/>
      <c r="L615" s="113"/>
      <c r="M615" s="113"/>
      <c r="N615" s="113"/>
      <c r="O615" s="8" t="s">
        <v>378</v>
      </c>
    </row>
    <row r="616" spans="1:15" s="8" customFormat="1" ht="15" customHeight="1">
      <c r="A616" s="142" t="s">
        <v>310</v>
      </c>
      <c r="B616" s="115"/>
      <c r="C616" s="115">
        <v>291</v>
      </c>
      <c r="D616" s="115"/>
      <c r="E616" s="115">
        <v>853</v>
      </c>
      <c r="F616" s="115">
        <v>291</v>
      </c>
      <c r="G616" s="122"/>
      <c r="H616" s="118">
        <f t="shared" si="47"/>
        <v>0</v>
      </c>
      <c r="I616" s="125"/>
      <c r="J616" s="125"/>
      <c r="K616" s="113"/>
      <c r="L616" s="113"/>
      <c r="M616" s="113"/>
      <c r="N616" s="113"/>
      <c r="O616" s="8" t="s">
        <v>379</v>
      </c>
    </row>
    <row r="617" spans="1:14" s="8" customFormat="1" ht="34.5" customHeight="1">
      <c r="A617" s="142" t="s">
        <v>358</v>
      </c>
      <c r="B617" s="115"/>
      <c r="C617" s="115">
        <v>292</v>
      </c>
      <c r="D617" s="115"/>
      <c r="E617" s="115">
        <v>853</v>
      </c>
      <c r="F617" s="115">
        <v>292</v>
      </c>
      <c r="G617" s="122"/>
      <c r="H617" s="118">
        <f t="shared" si="47"/>
        <v>0</v>
      </c>
      <c r="I617" s="125"/>
      <c r="J617" s="125"/>
      <c r="K617" s="113"/>
      <c r="L617" s="113"/>
      <c r="M617" s="113"/>
      <c r="N617" s="113"/>
    </row>
    <row r="618" spans="1:14" s="8" customFormat="1" ht="26.25" customHeight="1">
      <c r="A618" s="142" t="s">
        <v>359</v>
      </c>
      <c r="B618" s="115"/>
      <c r="C618" s="115">
        <v>293</v>
      </c>
      <c r="D618" s="115"/>
      <c r="E618" s="115">
        <v>853</v>
      </c>
      <c r="F618" s="115">
        <v>293</v>
      </c>
      <c r="G618" s="122"/>
      <c r="H618" s="118">
        <f t="shared" si="47"/>
        <v>0</v>
      </c>
      <c r="I618" s="125"/>
      <c r="J618" s="125"/>
      <c r="K618" s="113"/>
      <c r="L618" s="113"/>
      <c r="M618" s="113"/>
      <c r="N618" s="113"/>
    </row>
    <row r="619" spans="1:14" s="8" customFormat="1" ht="26.25" customHeight="1">
      <c r="A619" s="142" t="s">
        <v>360</v>
      </c>
      <c r="B619" s="115"/>
      <c r="C619" s="115">
        <v>294</v>
      </c>
      <c r="D619" s="115"/>
      <c r="E619" s="115">
        <v>853</v>
      </c>
      <c r="F619" s="115">
        <v>294</v>
      </c>
      <c r="G619" s="122"/>
      <c r="H619" s="118">
        <f t="shared" si="47"/>
        <v>0</v>
      </c>
      <c r="I619" s="125"/>
      <c r="J619" s="125"/>
      <c r="K619" s="113"/>
      <c r="L619" s="113"/>
      <c r="M619" s="113"/>
      <c r="N619" s="113"/>
    </row>
    <row r="620" spans="1:14" s="8" customFormat="1" ht="18" customHeight="1">
      <c r="A620" s="142" t="s">
        <v>361</v>
      </c>
      <c r="B620" s="115"/>
      <c r="C620" s="115">
        <v>295</v>
      </c>
      <c r="D620" s="115"/>
      <c r="E620" s="115">
        <v>853</v>
      </c>
      <c r="F620" s="115">
        <v>295</v>
      </c>
      <c r="G620" s="122"/>
      <c r="H620" s="118">
        <f t="shared" si="47"/>
        <v>0</v>
      </c>
      <c r="I620" s="125"/>
      <c r="J620" s="125"/>
      <c r="K620" s="113"/>
      <c r="L620" s="113"/>
      <c r="M620" s="113"/>
      <c r="N620" s="113"/>
    </row>
    <row r="621" spans="1:14" s="8" customFormat="1" ht="18" customHeight="1">
      <c r="A621" s="142" t="s">
        <v>362</v>
      </c>
      <c r="B621" s="115"/>
      <c r="C621" s="115">
        <v>296</v>
      </c>
      <c r="D621" s="115"/>
      <c r="E621" s="115">
        <v>853</v>
      </c>
      <c r="F621" s="115">
        <v>296</v>
      </c>
      <c r="G621" s="122"/>
      <c r="H621" s="118">
        <f t="shared" si="47"/>
        <v>0</v>
      </c>
      <c r="I621" s="125"/>
      <c r="J621" s="125"/>
      <c r="K621" s="113"/>
      <c r="L621" s="113"/>
      <c r="M621" s="113"/>
      <c r="N621" s="113"/>
    </row>
    <row r="622" spans="1:14" s="8" customFormat="1" ht="18" customHeight="1">
      <c r="A622" s="142" t="s">
        <v>311</v>
      </c>
      <c r="B622" s="115">
        <v>240</v>
      </c>
      <c r="C622" s="115"/>
      <c r="D622" s="115"/>
      <c r="E622" s="115"/>
      <c r="F622" s="115"/>
      <c r="G622" s="122"/>
      <c r="H622" s="118">
        <f t="shared" si="47"/>
        <v>0</v>
      </c>
      <c r="I622" s="125"/>
      <c r="J622" s="125"/>
      <c r="K622" s="113"/>
      <c r="L622" s="113"/>
      <c r="M622" s="113"/>
      <c r="N622" s="113"/>
    </row>
    <row r="623" spans="1:14" s="8" customFormat="1" ht="28.5" customHeight="1">
      <c r="A623" s="136" t="s">
        <v>312</v>
      </c>
      <c r="B623" s="115">
        <v>250</v>
      </c>
      <c r="C623" s="115"/>
      <c r="D623" s="115"/>
      <c r="E623" s="115"/>
      <c r="F623" s="115"/>
      <c r="G623" s="122"/>
      <c r="H623" s="118">
        <f>H625+H626</f>
        <v>0</v>
      </c>
      <c r="I623" s="125">
        <f aca="true" t="shared" si="48" ref="I623:N623">I625+I626</f>
        <v>0</v>
      </c>
      <c r="J623" s="125">
        <f t="shared" si="48"/>
        <v>0</v>
      </c>
      <c r="K623" s="125">
        <f t="shared" si="48"/>
        <v>0</v>
      </c>
      <c r="L623" s="125">
        <f t="shared" si="48"/>
        <v>0</v>
      </c>
      <c r="M623" s="125">
        <f t="shared" si="48"/>
        <v>0</v>
      </c>
      <c r="N623" s="125">
        <f t="shared" si="48"/>
        <v>0</v>
      </c>
    </row>
    <row r="624" spans="1:14" s="8" customFormat="1" ht="14.25" customHeight="1">
      <c r="A624" s="142" t="s">
        <v>4</v>
      </c>
      <c r="B624" s="115"/>
      <c r="C624" s="115"/>
      <c r="D624" s="115"/>
      <c r="E624" s="115"/>
      <c r="F624" s="115"/>
      <c r="G624" s="122"/>
      <c r="H624" s="118"/>
      <c r="I624" s="125"/>
      <c r="J624" s="125"/>
      <c r="K624" s="113"/>
      <c r="L624" s="113"/>
      <c r="M624" s="113"/>
      <c r="N624" s="113"/>
    </row>
    <row r="625" spans="1:14" s="8" customFormat="1" ht="29.25" customHeight="1">
      <c r="A625" s="136" t="s">
        <v>313</v>
      </c>
      <c r="B625" s="115"/>
      <c r="C625" s="115"/>
      <c r="D625" s="115"/>
      <c r="E625" s="115"/>
      <c r="F625" s="115"/>
      <c r="G625" s="122"/>
      <c r="H625" s="118">
        <f>I625+J625+K625+L625+M625+N625</f>
        <v>0</v>
      </c>
      <c r="I625" s="125"/>
      <c r="J625" s="125"/>
      <c r="K625" s="113"/>
      <c r="L625" s="113"/>
      <c r="M625" s="113"/>
      <c r="N625" s="113"/>
    </row>
    <row r="626" spans="1:14" s="8" customFormat="1" ht="34.5" customHeight="1">
      <c r="A626" s="142" t="s">
        <v>314</v>
      </c>
      <c r="B626" s="115"/>
      <c r="C626" s="115"/>
      <c r="D626" s="115"/>
      <c r="E626" s="115"/>
      <c r="F626" s="115"/>
      <c r="G626" s="122"/>
      <c r="H626" s="118">
        <f>I626+J626+K626+L626+M626+N626</f>
        <v>0</v>
      </c>
      <c r="I626" s="125"/>
      <c r="J626" s="125"/>
      <c r="K626" s="125"/>
      <c r="L626" s="125"/>
      <c r="M626" s="125"/>
      <c r="N626" s="113"/>
    </row>
    <row r="627" spans="1:14" s="8" customFormat="1" ht="27" customHeight="1">
      <c r="A627" s="142" t="s">
        <v>315</v>
      </c>
      <c r="B627" s="115">
        <v>260</v>
      </c>
      <c r="C627" s="115"/>
      <c r="D627" s="115"/>
      <c r="E627" s="115"/>
      <c r="F627" s="115"/>
      <c r="G627" s="122"/>
      <c r="H627" s="118">
        <f>I627+J627+M627</f>
        <v>17859467.48</v>
      </c>
      <c r="I627" s="125">
        <f>I629+I630+I635+I654+I655+I660+I661+I667+I679+I631+I632+I656+I657+I662+I663</f>
        <v>9084426.98</v>
      </c>
      <c r="J627" s="125">
        <f>J629+J634+J635+J653+J654+J660+J666+J667+J678+J679+J692</f>
        <v>0</v>
      </c>
      <c r="K627" s="125">
        <f>K629+K634+K635+K653+K654+K660+K666+K667+K678+K679+K692</f>
        <v>0</v>
      </c>
      <c r="L627" s="125">
        <f>L629+L634+L635+L653+L654+L660+L666+L667+L678+L679+L692</f>
        <v>0</v>
      </c>
      <c r="M627" s="125">
        <f>M633+M635+M658+M659+M664+M665+M667+M690+M691</f>
        <v>8775040.5</v>
      </c>
      <c r="N627" s="125">
        <f>N629+N634+N635+N653+N654+N660+N666+N667+N678+N679+N692</f>
        <v>0</v>
      </c>
    </row>
    <row r="628" spans="1:14" s="41" customFormat="1" ht="15.75" customHeight="1">
      <c r="A628" s="142" t="s">
        <v>4</v>
      </c>
      <c r="B628" s="148"/>
      <c r="C628" s="115"/>
      <c r="D628" s="148"/>
      <c r="E628" s="148"/>
      <c r="F628" s="115"/>
      <c r="G628" s="122"/>
      <c r="H628" s="118"/>
      <c r="I628" s="118"/>
      <c r="J628" s="118"/>
      <c r="K628" s="118"/>
      <c r="L628" s="118"/>
      <c r="M628" s="118"/>
      <c r="N628" s="118"/>
    </row>
    <row r="629" spans="1:14" s="8" customFormat="1" ht="16.5" customHeight="1">
      <c r="A629" s="142" t="s">
        <v>316</v>
      </c>
      <c r="B629" s="115"/>
      <c r="C629" s="115">
        <v>221</v>
      </c>
      <c r="D629" s="115">
        <v>800000000</v>
      </c>
      <c r="E629" s="115">
        <v>244</v>
      </c>
      <c r="F629" s="115">
        <v>221</v>
      </c>
      <c r="G629" s="102" t="s">
        <v>531</v>
      </c>
      <c r="H629" s="118">
        <f>I629+J629+M629</f>
        <v>87600</v>
      </c>
      <c r="I629" s="125">
        <f>72000+15600</f>
        <v>87600</v>
      </c>
      <c r="J629" s="125"/>
      <c r="K629" s="113"/>
      <c r="L629" s="113"/>
      <c r="M629" s="113"/>
      <c r="N629" s="113"/>
    </row>
    <row r="630" spans="1:14" s="8" customFormat="1" ht="16.5" customHeight="1">
      <c r="A630" s="142" t="s">
        <v>316</v>
      </c>
      <c r="B630" s="115"/>
      <c r="C630" s="115">
        <v>221</v>
      </c>
      <c r="D630" s="115">
        <v>800000000</v>
      </c>
      <c r="E630" s="115">
        <v>244</v>
      </c>
      <c r="F630" s="115">
        <v>221</v>
      </c>
      <c r="G630" s="102" t="s">
        <v>532</v>
      </c>
      <c r="H630" s="118">
        <f>I630+J630+M630</f>
        <v>32000.1</v>
      </c>
      <c r="I630" s="125">
        <v>32000.1</v>
      </c>
      <c r="J630" s="125"/>
      <c r="K630" s="113"/>
      <c r="L630" s="113"/>
      <c r="M630" s="113"/>
      <c r="N630" s="113"/>
    </row>
    <row r="631" spans="1:14" s="8" customFormat="1" ht="16.5" customHeight="1" hidden="1">
      <c r="A631" s="142" t="s">
        <v>316</v>
      </c>
      <c r="B631" s="487"/>
      <c r="C631" s="489">
        <v>221</v>
      </c>
      <c r="D631" s="489">
        <v>800000000</v>
      </c>
      <c r="E631" s="489">
        <v>244</v>
      </c>
      <c r="F631" s="489">
        <v>221</v>
      </c>
      <c r="G631" s="490" t="s">
        <v>531</v>
      </c>
      <c r="H631" s="491">
        <f>I631+J631+K631+L631+M631+N631</f>
        <v>0</v>
      </c>
      <c r="I631" s="486"/>
      <c r="J631" s="125"/>
      <c r="K631" s="113"/>
      <c r="L631" s="113"/>
      <c r="M631" s="113"/>
      <c r="N631" s="113"/>
    </row>
    <row r="632" spans="1:14" s="8" customFormat="1" ht="16.5" customHeight="1">
      <c r="A632" s="142" t="s">
        <v>824</v>
      </c>
      <c r="B632" s="487"/>
      <c r="C632" s="489">
        <v>221</v>
      </c>
      <c r="D632" s="489">
        <v>800000000</v>
      </c>
      <c r="E632" s="489">
        <v>244</v>
      </c>
      <c r="F632" s="489">
        <v>221</v>
      </c>
      <c r="G632" s="493" t="s">
        <v>825</v>
      </c>
      <c r="H632" s="491">
        <f>I632+J632+K632+L632+M632+N632</f>
        <v>45806.4</v>
      </c>
      <c r="I632" s="486">
        <v>45806.4</v>
      </c>
      <c r="J632" s="125"/>
      <c r="K632" s="113"/>
      <c r="L632" s="113"/>
      <c r="M632" s="113"/>
      <c r="N632" s="113"/>
    </row>
    <row r="633" spans="1:14" s="8" customFormat="1" ht="16.5" customHeight="1">
      <c r="A633" s="142" t="s">
        <v>316</v>
      </c>
      <c r="B633" s="115"/>
      <c r="C633" s="115">
        <v>221</v>
      </c>
      <c r="D633" s="116" t="s">
        <v>521</v>
      </c>
      <c r="E633" s="115">
        <v>244</v>
      </c>
      <c r="F633" s="115">
        <v>221</v>
      </c>
      <c r="G633" s="102" t="s">
        <v>533</v>
      </c>
      <c r="H633" s="118">
        <f>I633+J633+M633</f>
        <v>2909.1</v>
      </c>
      <c r="I633" s="125">
        <v>0</v>
      </c>
      <c r="J633" s="125"/>
      <c r="K633" s="113"/>
      <c r="L633" s="113"/>
      <c r="M633" s="113">
        <v>2909.1</v>
      </c>
      <c r="N633" s="113"/>
    </row>
    <row r="634" spans="1:14" s="8" customFormat="1" ht="15.75" customHeight="1">
      <c r="A634" s="142" t="s">
        <v>317</v>
      </c>
      <c r="B634" s="115"/>
      <c r="C634" s="115">
        <v>222</v>
      </c>
      <c r="D634" s="115"/>
      <c r="E634" s="115">
        <v>244</v>
      </c>
      <c r="F634" s="115">
        <v>222</v>
      </c>
      <c r="G634" s="122"/>
      <c r="H634" s="118">
        <f>I634+J634+K634+L634+M634+N634</f>
        <v>0</v>
      </c>
      <c r="I634" s="125"/>
      <c r="J634" s="125"/>
      <c r="K634" s="113"/>
      <c r="L634" s="113"/>
      <c r="M634" s="113"/>
      <c r="N634" s="113"/>
    </row>
    <row r="635" spans="1:14" s="8" customFormat="1" ht="14.25" customHeight="1">
      <c r="A635" s="142" t="s">
        <v>318</v>
      </c>
      <c r="B635" s="115"/>
      <c r="C635" s="115">
        <v>223</v>
      </c>
      <c r="D635" s="115"/>
      <c r="E635" s="115">
        <v>244</v>
      </c>
      <c r="F635" s="115">
        <v>223</v>
      </c>
      <c r="G635" s="122"/>
      <c r="H635" s="118">
        <f>I635+J635+M635</f>
        <v>3447560.04</v>
      </c>
      <c r="I635" s="125">
        <f>SUM(I637:I646)</f>
        <v>3142082.57</v>
      </c>
      <c r="J635" s="125">
        <f>SUM(J637:J646)</f>
        <v>0</v>
      </c>
      <c r="K635" s="125">
        <f>SUM(K637:K646)</f>
        <v>0</v>
      </c>
      <c r="L635" s="125">
        <f>SUM(L637:L646)</f>
        <v>0</v>
      </c>
      <c r="M635" s="125">
        <f>SUM(M643:M652)</f>
        <v>305477.47000000003</v>
      </c>
      <c r="N635" s="125">
        <f>N637+N640+N641+N644</f>
        <v>0</v>
      </c>
    </row>
    <row r="636" spans="1:14" s="8" customFormat="1" ht="12.75">
      <c r="A636" s="142" t="s">
        <v>4</v>
      </c>
      <c r="B636" s="115"/>
      <c r="C636" s="115"/>
      <c r="D636" s="115"/>
      <c r="E636" s="115"/>
      <c r="F636" s="115"/>
      <c r="G636" s="122"/>
      <c r="H636" s="118"/>
      <c r="I636" s="125"/>
      <c r="J636" s="125"/>
      <c r="K636" s="113"/>
      <c r="L636" s="113"/>
      <c r="M636" s="113"/>
      <c r="N636" s="113"/>
    </row>
    <row r="637" spans="1:14" s="8" customFormat="1" ht="15" customHeight="1">
      <c r="A637" s="142" t="s">
        <v>319</v>
      </c>
      <c r="B637" s="115"/>
      <c r="C637" s="115"/>
      <c r="D637" s="115">
        <v>800000000</v>
      </c>
      <c r="E637" s="115">
        <v>244</v>
      </c>
      <c r="F637" s="115"/>
      <c r="G637" s="102" t="s">
        <v>532</v>
      </c>
      <c r="H637" s="118">
        <f aca="true" t="shared" si="49" ref="H637:H666">I637+J637+K637+L637+M637+N637</f>
        <v>1604461.97</v>
      </c>
      <c r="I637" s="125">
        <f>1246845.97+357616</f>
        <v>1604461.97</v>
      </c>
      <c r="J637" s="125"/>
      <c r="K637" s="113"/>
      <c r="L637" s="113"/>
      <c r="M637" s="113">
        <v>0</v>
      </c>
      <c r="N637" s="113"/>
    </row>
    <row r="638" spans="1:14" s="8" customFormat="1" ht="15" customHeight="1">
      <c r="A638" s="142" t="s">
        <v>319</v>
      </c>
      <c r="B638" s="487"/>
      <c r="C638" s="487">
        <v>223</v>
      </c>
      <c r="D638" s="489">
        <v>800000000</v>
      </c>
      <c r="E638" s="487">
        <v>244</v>
      </c>
      <c r="F638" s="487">
        <v>223</v>
      </c>
      <c r="G638" s="493" t="s">
        <v>825</v>
      </c>
      <c r="H638" s="491">
        <f>I638+J638+K638+L638+M638+N638</f>
        <v>459884</v>
      </c>
      <c r="I638" s="486">
        <v>459884</v>
      </c>
      <c r="J638" s="125"/>
      <c r="K638" s="113"/>
      <c r="L638" s="113"/>
      <c r="M638" s="113"/>
      <c r="N638" s="113"/>
    </row>
    <row r="639" spans="1:14" s="8" customFormat="1" ht="15" customHeight="1">
      <c r="A639" s="142" t="s">
        <v>319</v>
      </c>
      <c r="B639" s="487"/>
      <c r="C639" s="487">
        <v>223</v>
      </c>
      <c r="D639" s="489">
        <v>800000000</v>
      </c>
      <c r="E639" s="487">
        <v>244</v>
      </c>
      <c r="F639" s="487">
        <v>223</v>
      </c>
      <c r="G639" s="494" t="s">
        <v>532</v>
      </c>
      <c r="H639" s="491">
        <f>I639+J639+K639+L639+M639+N639</f>
        <v>0</v>
      </c>
      <c r="I639" s="486"/>
      <c r="J639" s="125"/>
      <c r="K639" s="113"/>
      <c r="L639" s="113"/>
      <c r="M639" s="113"/>
      <c r="N639" s="113"/>
    </row>
    <row r="640" spans="1:14" s="8" customFormat="1" ht="15" customHeight="1">
      <c r="A640" s="142" t="s">
        <v>320</v>
      </c>
      <c r="B640" s="115"/>
      <c r="C640" s="115"/>
      <c r="D640" s="115">
        <v>800000000</v>
      </c>
      <c r="E640" s="115">
        <v>244</v>
      </c>
      <c r="F640" s="115"/>
      <c r="G640" s="102" t="s">
        <v>532</v>
      </c>
      <c r="H640" s="118">
        <f t="shared" si="49"/>
        <v>0</v>
      </c>
      <c r="I640" s="125">
        <v>0</v>
      </c>
      <c r="J640" s="125"/>
      <c r="K640" s="113"/>
      <c r="L640" s="113"/>
      <c r="M640" s="113"/>
      <c r="N640" s="113"/>
    </row>
    <row r="641" spans="1:14" s="8" customFormat="1" ht="15" customHeight="1">
      <c r="A641" s="142" t="s">
        <v>321</v>
      </c>
      <c r="B641" s="115"/>
      <c r="C641" s="115"/>
      <c r="D641" s="115">
        <v>800000000</v>
      </c>
      <c r="E641" s="115">
        <v>244</v>
      </c>
      <c r="F641" s="115"/>
      <c r="G641" s="102" t="s">
        <v>532</v>
      </c>
      <c r="H641" s="118">
        <f t="shared" si="49"/>
        <v>568356.6799999999</v>
      </c>
      <c r="I641" s="125">
        <f>470359.68+97997</f>
        <v>568356.6799999999</v>
      </c>
      <c r="J641" s="125"/>
      <c r="K641" s="113"/>
      <c r="L641" s="113"/>
      <c r="M641" s="113"/>
      <c r="N641" s="113"/>
    </row>
    <row r="642" spans="1:14" s="8" customFormat="1" ht="15" customHeight="1">
      <c r="A642" s="142" t="s">
        <v>321</v>
      </c>
      <c r="B642" s="487"/>
      <c r="C642" s="487">
        <v>223</v>
      </c>
      <c r="D642" s="489">
        <v>800000000</v>
      </c>
      <c r="E642" s="487">
        <v>244</v>
      </c>
      <c r="F642" s="487">
        <v>223</v>
      </c>
      <c r="G642" s="493" t="s">
        <v>825</v>
      </c>
      <c r="H642" s="491">
        <f>I642+J642+K642+L642+M642+N642</f>
        <v>240227</v>
      </c>
      <c r="I642" s="486">
        <v>240227</v>
      </c>
      <c r="J642" s="125"/>
      <c r="K642" s="113"/>
      <c r="L642" s="113"/>
      <c r="M642" s="113"/>
      <c r="N642" s="113"/>
    </row>
    <row r="643" spans="1:14" s="8" customFormat="1" ht="15" customHeight="1">
      <c r="A643" s="142" t="s">
        <v>321</v>
      </c>
      <c r="B643" s="487"/>
      <c r="C643" s="487">
        <v>223</v>
      </c>
      <c r="D643" s="489">
        <v>800000000</v>
      </c>
      <c r="E643" s="487">
        <v>244</v>
      </c>
      <c r="F643" s="487">
        <v>223</v>
      </c>
      <c r="G643" s="494" t="s">
        <v>532</v>
      </c>
      <c r="H643" s="491">
        <f>I643+J643+K643+L643+M643+N643</f>
        <v>0</v>
      </c>
      <c r="I643" s="486"/>
      <c r="J643" s="125"/>
      <c r="K643" s="113"/>
      <c r="L643" s="113"/>
      <c r="M643" s="113"/>
      <c r="N643" s="113"/>
    </row>
    <row r="644" spans="1:14" s="8" customFormat="1" ht="15" customHeight="1">
      <c r="A644" s="142" t="s">
        <v>322</v>
      </c>
      <c r="B644" s="115"/>
      <c r="C644" s="115"/>
      <c r="D644" s="115">
        <v>800000000</v>
      </c>
      <c r="E644" s="115">
        <v>244</v>
      </c>
      <c r="F644" s="115"/>
      <c r="G644" s="102" t="s">
        <v>532</v>
      </c>
      <c r="H644" s="118">
        <f t="shared" si="49"/>
        <v>148192.91999999998</v>
      </c>
      <c r="I644" s="125">
        <f>125152.92+23040</f>
        <v>148192.91999999998</v>
      </c>
      <c r="J644" s="125"/>
      <c r="K644" s="113"/>
      <c r="L644" s="113"/>
      <c r="M644" s="113"/>
      <c r="N644" s="113"/>
    </row>
    <row r="645" spans="1:14" s="8" customFormat="1" ht="15" customHeight="1">
      <c r="A645" s="142" t="s">
        <v>322</v>
      </c>
      <c r="B645" s="487"/>
      <c r="C645" s="487">
        <v>223</v>
      </c>
      <c r="D645" s="489">
        <v>800000000</v>
      </c>
      <c r="E645" s="487">
        <v>244</v>
      </c>
      <c r="F645" s="487">
        <v>223</v>
      </c>
      <c r="G645" s="493" t="s">
        <v>825</v>
      </c>
      <c r="H645" s="491">
        <f>I645+J645+K645+L645+M645+N645</f>
        <v>120960</v>
      </c>
      <c r="I645" s="486">
        <v>120960</v>
      </c>
      <c r="J645" s="125"/>
      <c r="K645" s="113"/>
      <c r="L645" s="113"/>
      <c r="M645" s="113"/>
      <c r="N645" s="113"/>
    </row>
    <row r="646" spans="1:14" s="8" customFormat="1" ht="15" customHeight="1">
      <c r="A646" s="142" t="s">
        <v>322</v>
      </c>
      <c r="B646" s="487"/>
      <c r="C646" s="487">
        <v>223</v>
      </c>
      <c r="D646" s="489">
        <v>800000000</v>
      </c>
      <c r="E646" s="487">
        <v>244</v>
      </c>
      <c r="F646" s="487">
        <v>223</v>
      </c>
      <c r="G646" s="494" t="s">
        <v>532</v>
      </c>
      <c r="H646" s="491">
        <f>I646+J646+K646+L646+M646+N646</f>
        <v>0</v>
      </c>
      <c r="I646" s="486"/>
      <c r="J646" s="125"/>
      <c r="K646" s="113"/>
      <c r="L646" s="113"/>
      <c r="M646" s="113"/>
      <c r="N646" s="113"/>
    </row>
    <row r="647" spans="1:14" s="8" customFormat="1" ht="15" customHeight="1">
      <c r="A647" s="142" t="s">
        <v>319</v>
      </c>
      <c r="B647" s="115"/>
      <c r="C647" s="115"/>
      <c r="D647" s="116" t="s">
        <v>521</v>
      </c>
      <c r="E647" s="115">
        <v>244</v>
      </c>
      <c r="F647" s="115"/>
      <c r="G647" s="102" t="s">
        <v>533</v>
      </c>
      <c r="H647" s="118">
        <f t="shared" si="49"/>
        <v>71801.35</v>
      </c>
      <c r="I647" s="125">
        <v>0</v>
      </c>
      <c r="J647" s="125"/>
      <c r="K647" s="113"/>
      <c r="L647" s="113"/>
      <c r="M647" s="113">
        <f>9301.35+62500</f>
        <v>71801.35</v>
      </c>
      <c r="N647" s="113"/>
    </row>
    <row r="648" spans="1:14" s="8" customFormat="1" ht="15" customHeight="1" hidden="1">
      <c r="A648" s="142" t="s">
        <v>319</v>
      </c>
      <c r="B648" s="487"/>
      <c r="C648" s="487">
        <v>223</v>
      </c>
      <c r="D648" s="488" t="s">
        <v>521</v>
      </c>
      <c r="E648" s="487">
        <v>244</v>
      </c>
      <c r="F648" s="487">
        <v>223</v>
      </c>
      <c r="G648" s="494" t="s">
        <v>533</v>
      </c>
      <c r="H648" s="491">
        <f>I648+J648+K648+L648+M648+N648</f>
        <v>0</v>
      </c>
      <c r="I648" s="485">
        <v>0</v>
      </c>
      <c r="J648" s="485">
        <v>0</v>
      </c>
      <c r="K648" s="113">
        <v>0</v>
      </c>
      <c r="L648" s="113">
        <v>0</v>
      </c>
      <c r="M648" s="497"/>
      <c r="N648" s="113"/>
    </row>
    <row r="649" spans="1:14" s="8" customFormat="1" ht="15" customHeight="1">
      <c r="A649" s="142" t="s">
        <v>321</v>
      </c>
      <c r="B649" s="115"/>
      <c r="C649" s="115"/>
      <c r="D649" s="116" t="s">
        <v>521</v>
      </c>
      <c r="E649" s="115">
        <v>244</v>
      </c>
      <c r="F649" s="115"/>
      <c r="G649" s="102" t="s">
        <v>533</v>
      </c>
      <c r="H649" s="118">
        <f t="shared" si="49"/>
        <v>175138.88</v>
      </c>
      <c r="I649" s="125">
        <v>0</v>
      </c>
      <c r="J649" s="125"/>
      <c r="K649" s="113"/>
      <c r="L649" s="113"/>
      <c r="M649" s="113">
        <f>143362.88+31776</f>
        <v>175138.88</v>
      </c>
      <c r="N649" s="113"/>
    </row>
    <row r="650" spans="1:14" s="8" customFormat="1" ht="15" customHeight="1" hidden="1">
      <c r="A650" s="142" t="s">
        <v>321</v>
      </c>
      <c r="B650" s="487"/>
      <c r="C650" s="487">
        <v>223</v>
      </c>
      <c r="D650" s="488" t="s">
        <v>521</v>
      </c>
      <c r="E650" s="487">
        <v>244</v>
      </c>
      <c r="F650" s="487">
        <v>223</v>
      </c>
      <c r="G650" s="494" t="s">
        <v>533</v>
      </c>
      <c r="H650" s="491">
        <f>I650+J650+K650+L650+M650+N650</f>
        <v>0</v>
      </c>
      <c r="I650" s="485">
        <v>0</v>
      </c>
      <c r="J650" s="485">
        <v>0</v>
      </c>
      <c r="K650" s="113">
        <v>0</v>
      </c>
      <c r="L650" s="113">
        <v>0</v>
      </c>
      <c r="M650" s="497"/>
      <c r="N650" s="113"/>
    </row>
    <row r="651" spans="1:14" s="8" customFormat="1" ht="15" customHeight="1">
      <c r="A651" s="142" t="s">
        <v>322</v>
      </c>
      <c r="B651" s="115"/>
      <c r="C651" s="115"/>
      <c r="D651" s="116" t="s">
        <v>521</v>
      </c>
      <c r="E651" s="115">
        <v>244</v>
      </c>
      <c r="F651" s="115"/>
      <c r="G651" s="102" t="s">
        <v>533</v>
      </c>
      <c r="H651" s="118">
        <f t="shared" si="49"/>
        <v>58537.24</v>
      </c>
      <c r="I651" s="125">
        <v>0</v>
      </c>
      <c r="J651" s="125"/>
      <c r="K651" s="113"/>
      <c r="L651" s="113"/>
      <c r="M651" s="113">
        <f>42537.24+16000</f>
        <v>58537.24</v>
      </c>
      <c r="N651" s="113"/>
    </row>
    <row r="652" spans="1:14" s="8" customFormat="1" ht="15" customHeight="1" hidden="1">
      <c r="A652" s="142" t="s">
        <v>322</v>
      </c>
      <c r="B652" s="487"/>
      <c r="C652" s="487">
        <v>223</v>
      </c>
      <c r="D652" s="488" t="s">
        <v>521</v>
      </c>
      <c r="E652" s="487">
        <v>244</v>
      </c>
      <c r="F652" s="487">
        <v>223</v>
      </c>
      <c r="G652" s="494" t="s">
        <v>533</v>
      </c>
      <c r="H652" s="491">
        <f>I652+J652+K652+L652+M652+N652</f>
        <v>0</v>
      </c>
      <c r="I652" s="485">
        <v>0</v>
      </c>
      <c r="J652" s="485">
        <v>0</v>
      </c>
      <c r="K652" s="113">
        <v>0</v>
      </c>
      <c r="L652" s="113">
        <v>0</v>
      </c>
      <c r="M652" s="497"/>
      <c r="N652" s="113"/>
    </row>
    <row r="653" spans="1:14" s="8" customFormat="1" ht="15" customHeight="1">
      <c r="A653" s="142" t="s">
        <v>323</v>
      </c>
      <c r="B653" s="115"/>
      <c r="C653" s="115">
        <v>224</v>
      </c>
      <c r="D653" s="115"/>
      <c r="E653" s="115"/>
      <c r="F653" s="115">
        <v>224</v>
      </c>
      <c r="G653" s="122"/>
      <c r="H653" s="118">
        <f t="shared" si="49"/>
        <v>0</v>
      </c>
      <c r="I653" s="125">
        <v>0</v>
      </c>
      <c r="J653" s="125"/>
      <c r="K653" s="113"/>
      <c r="L653" s="113"/>
      <c r="M653" s="113"/>
      <c r="N653" s="113"/>
    </row>
    <row r="654" spans="1:14" s="8" customFormat="1" ht="15" customHeight="1">
      <c r="A654" s="142" t="s">
        <v>324</v>
      </c>
      <c r="B654" s="115"/>
      <c r="C654" s="115">
        <v>225</v>
      </c>
      <c r="D654" s="115">
        <v>800000000</v>
      </c>
      <c r="E654" s="115">
        <v>244</v>
      </c>
      <c r="F654" s="115">
        <v>225</v>
      </c>
      <c r="G654" s="102" t="s">
        <v>531</v>
      </c>
      <c r="H654" s="118">
        <f t="shared" si="49"/>
        <v>132945.86</v>
      </c>
      <c r="I654" s="125">
        <v>132945.86</v>
      </c>
      <c r="J654" s="125"/>
      <c r="K654" s="113"/>
      <c r="L654" s="113"/>
      <c r="M654" s="113"/>
      <c r="N654" s="113"/>
    </row>
    <row r="655" spans="1:14" s="8" customFormat="1" ht="15" customHeight="1">
      <c r="A655" s="142" t="s">
        <v>324</v>
      </c>
      <c r="B655" s="115"/>
      <c r="C655" s="115">
        <v>225</v>
      </c>
      <c r="D655" s="115">
        <v>800000000</v>
      </c>
      <c r="E655" s="115">
        <v>244</v>
      </c>
      <c r="F655" s="115">
        <v>225</v>
      </c>
      <c r="G655" s="102" t="s">
        <v>532</v>
      </c>
      <c r="H655" s="118">
        <f t="shared" si="49"/>
        <v>2352681.11</v>
      </c>
      <c r="I655" s="125">
        <f>2200842.68+69364.53+82473.9</f>
        <v>2352681.11</v>
      </c>
      <c r="J655" s="125"/>
      <c r="K655" s="113"/>
      <c r="L655" s="113"/>
      <c r="M655" s="113"/>
      <c r="N655" s="113"/>
    </row>
    <row r="656" spans="1:14" s="8" customFormat="1" ht="15" customHeight="1">
      <c r="A656" s="142" t="s">
        <v>324</v>
      </c>
      <c r="B656" s="487"/>
      <c r="C656" s="487">
        <v>225</v>
      </c>
      <c r="D656" s="489">
        <v>800000000</v>
      </c>
      <c r="E656" s="487">
        <v>244</v>
      </c>
      <c r="F656" s="487">
        <v>225</v>
      </c>
      <c r="G656" s="493" t="s">
        <v>825</v>
      </c>
      <c r="H656" s="491">
        <f>I656+J656+K656+L656+M656+N656</f>
        <v>432987.99</v>
      </c>
      <c r="I656" s="486">
        <v>432987.99</v>
      </c>
      <c r="J656" s="125"/>
      <c r="K656" s="113"/>
      <c r="L656" s="113"/>
      <c r="M656" s="113"/>
      <c r="N656" s="113"/>
    </row>
    <row r="657" spans="1:14" s="8" customFormat="1" ht="15" customHeight="1">
      <c r="A657" s="142" t="s">
        <v>324</v>
      </c>
      <c r="B657" s="487"/>
      <c r="C657" s="487">
        <v>225</v>
      </c>
      <c r="D657" s="489">
        <v>800000000</v>
      </c>
      <c r="E657" s="487">
        <v>244</v>
      </c>
      <c r="F657" s="487">
        <v>225</v>
      </c>
      <c r="G657" s="494" t="s">
        <v>532</v>
      </c>
      <c r="H657" s="491">
        <f>I657+J657+K657+L657+M657+N657</f>
        <v>0</v>
      </c>
      <c r="I657" s="486"/>
      <c r="J657" s="125"/>
      <c r="K657" s="113"/>
      <c r="L657" s="113"/>
      <c r="M657" s="113"/>
      <c r="N657" s="113"/>
    </row>
    <row r="658" spans="1:14" s="8" customFormat="1" ht="15" customHeight="1">
      <c r="A658" s="142" t="s">
        <v>324</v>
      </c>
      <c r="B658" s="115"/>
      <c r="C658" s="115">
        <v>225</v>
      </c>
      <c r="D658" s="116" t="s">
        <v>521</v>
      </c>
      <c r="E658" s="115">
        <v>244</v>
      </c>
      <c r="F658" s="115">
        <v>225</v>
      </c>
      <c r="G658" s="102" t="s">
        <v>533</v>
      </c>
      <c r="H658" s="118">
        <f t="shared" si="49"/>
        <v>2940347.3499999996</v>
      </c>
      <c r="I658" s="125">
        <v>0</v>
      </c>
      <c r="J658" s="125"/>
      <c r="K658" s="113"/>
      <c r="L658" s="113"/>
      <c r="M658" s="113">
        <f>2600998.63+33943.32+10000+295405.4</f>
        <v>2940347.3499999996</v>
      </c>
      <c r="N658" s="113"/>
    </row>
    <row r="659" spans="1:14" s="8" customFormat="1" ht="15" customHeight="1" hidden="1">
      <c r="A659" s="142" t="s">
        <v>324</v>
      </c>
      <c r="B659" s="487"/>
      <c r="C659" s="487">
        <v>225</v>
      </c>
      <c r="D659" s="488" t="s">
        <v>521</v>
      </c>
      <c r="E659" s="487">
        <v>244</v>
      </c>
      <c r="F659" s="487">
        <v>225</v>
      </c>
      <c r="G659" s="494" t="s">
        <v>533</v>
      </c>
      <c r="H659" s="491">
        <f>I659+J659+K659+L659+M659+N659</f>
        <v>0</v>
      </c>
      <c r="I659" s="485">
        <v>0</v>
      </c>
      <c r="J659" s="485">
        <v>0</v>
      </c>
      <c r="K659" s="113">
        <v>0</v>
      </c>
      <c r="L659" s="113">
        <v>0</v>
      </c>
      <c r="M659" s="497"/>
      <c r="N659" s="113"/>
    </row>
    <row r="660" spans="1:14" s="8" customFormat="1" ht="15" customHeight="1">
      <c r="A660" s="142" t="s">
        <v>325</v>
      </c>
      <c r="B660" s="115"/>
      <c r="C660" s="115">
        <v>310</v>
      </c>
      <c r="D660" s="115">
        <v>800000000</v>
      </c>
      <c r="E660" s="115">
        <v>244</v>
      </c>
      <c r="F660" s="115">
        <v>310</v>
      </c>
      <c r="G660" s="102" t="s">
        <v>531</v>
      </c>
      <c r="H660" s="118">
        <f t="shared" si="49"/>
        <v>511217</v>
      </c>
      <c r="I660" s="125">
        <f>450000+61217</f>
        <v>511217</v>
      </c>
      <c r="J660" s="125"/>
      <c r="K660" s="113"/>
      <c r="L660" s="113"/>
      <c r="M660" s="113"/>
      <c r="N660" s="113"/>
    </row>
    <row r="661" spans="1:14" s="8" customFormat="1" ht="15" customHeight="1">
      <c r="A661" s="142" t="s">
        <v>325</v>
      </c>
      <c r="B661" s="115"/>
      <c r="C661" s="115">
        <v>310</v>
      </c>
      <c r="D661" s="115">
        <v>800000000</v>
      </c>
      <c r="E661" s="115">
        <v>244</v>
      </c>
      <c r="F661" s="115">
        <v>310</v>
      </c>
      <c r="G661" s="102" t="s">
        <v>532</v>
      </c>
      <c r="H661" s="118">
        <f t="shared" si="49"/>
        <v>262999.9</v>
      </c>
      <c r="I661" s="125">
        <f>295000-32000.1</f>
        <v>262999.9</v>
      </c>
      <c r="J661" s="125"/>
      <c r="K661" s="113"/>
      <c r="L661" s="113"/>
      <c r="M661" s="113"/>
      <c r="N661" s="113"/>
    </row>
    <row r="662" spans="1:14" s="8" customFormat="1" ht="15" customHeight="1">
      <c r="A662" s="142" t="s">
        <v>325</v>
      </c>
      <c r="B662" s="487"/>
      <c r="C662" s="487">
        <v>310</v>
      </c>
      <c r="D662" s="489">
        <v>800000000</v>
      </c>
      <c r="E662" s="487">
        <v>244</v>
      </c>
      <c r="F662" s="487">
        <v>310</v>
      </c>
      <c r="G662" s="490" t="s">
        <v>535</v>
      </c>
      <c r="H662" s="491">
        <f>I662+J662+K662+L662+M662+N662</f>
        <v>194426</v>
      </c>
      <c r="I662" s="486">
        <v>194426</v>
      </c>
      <c r="J662" s="125"/>
      <c r="K662" s="113"/>
      <c r="L662" s="113"/>
      <c r="M662" s="113"/>
      <c r="N662" s="113"/>
    </row>
    <row r="663" spans="1:14" s="8" customFormat="1" ht="15" customHeight="1">
      <c r="A663" s="142" t="s">
        <v>325</v>
      </c>
      <c r="B663" s="487"/>
      <c r="C663" s="487">
        <v>310</v>
      </c>
      <c r="D663" s="489">
        <v>800000000</v>
      </c>
      <c r="E663" s="487">
        <v>244</v>
      </c>
      <c r="F663" s="487">
        <v>310</v>
      </c>
      <c r="G663" s="490" t="s">
        <v>531</v>
      </c>
      <c r="H663" s="491">
        <f>I663+J663+K663+L663+M663+N663</f>
        <v>0</v>
      </c>
      <c r="I663" s="486"/>
      <c r="J663" s="125"/>
      <c r="K663" s="113"/>
      <c r="L663" s="113"/>
      <c r="M663" s="113"/>
      <c r="N663" s="113"/>
    </row>
    <row r="664" spans="1:14" s="8" customFormat="1" ht="15" customHeight="1">
      <c r="A664" s="142" t="s">
        <v>325</v>
      </c>
      <c r="B664" s="115"/>
      <c r="C664" s="115">
        <v>310</v>
      </c>
      <c r="D664" s="116" t="s">
        <v>521</v>
      </c>
      <c r="E664" s="115">
        <v>244</v>
      </c>
      <c r="F664" s="115">
        <v>310</v>
      </c>
      <c r="G664" s="102" t="s">
        <v>533</v>
      </c>
      <c r="H664" s="118">
        <f t="shared" si="49"/>
        <v>204248</v>
      </c>
      <c r="I664" s="125">
        <v>0</v>
      </c>
      <c r="J664" s="125"/>
      <c r="K664" s="113"/>
      <c r="L664" s="113"/>
      <c r="M664" s="113">
        <f>104248+100000</f>
        <v>204248</v>
      </c>
      <c r="N664" s="113"/>
    </row>
    <row r="665" spans="1:14" s="8" customFormat="1" ht="15" customHeight="1" hidden="1">
      <c r="A665" s="142" t="s">
        <v>325</v>
      </c>
      <c r="B665" s="487"/>
      <c r="C665" s="487">
        <v>310</v>
      </c>
      <c r="D665" s="488" t="s">
        <v>521</v>
      </c>
      <c r="E665" s="487">
        <v>244</v>
      </c>
      <c r="F665" s="487">
        <v>310</v>
      </c>
      <c r="G665" s="494" t="s">
        <v>533</v>
      </c>
      <c r="H665" s="491">
        <f>I665+J665+K665+L665+M665+N665</f>
        <v>0</v>
      </c>
      <c r="I665" s="485">
        <v>0</v>
      </c>
      <c r="J665" s="485">
        <v>0</v>
      </c>
      <c r="K665" s="113">
        <v>0</v>
      </c>
      <c r="L665" s="113">
        <v>0</v>
      </c>
      <c r="M665" s="497"/>
      <c r="N665" s="113"/>
    </row>
    <row r="666" spans="1:14" s="8" customFormat="1" ht="15" customHeight="1">
      <c r="A666" s="142" t="s">
        <v>326</v>
      </c>
      <c r="B666" s="115"/>
      <c r="C666" s="115">
        <v>320</v>
      </c>
      <c r="D666" s="115"/>
      <c r="E666" s="115">
        <v>244</v>
      </c>
      <c r="F666" s="115">
        <v>320</v>
      </c>
      <c r="G666" s="122"/>
      <c r="H666" s="118">
        <f t="shared" si="49"/>
        <v>0</v>
      </c>
      <c r="I666" s="125">
        <v>0</v>
      </c>
      <c r="J666" s="125"/>
      <c r="K666" s="113"/>
      <c r="L666" s="113"/>
      <c r="M666" s="113"/>
      <c r="N666" s="113"/>
    </row>
    <row r="667" spans="1:14" s="8" customFormat="1" ht="15" customHeight="1">
      <c r="A667" s="142" t="s">
        <v>327</v>
      </c>
      <c r="B667" s="115"/>
      <c r="C667" s="115">
        <v>340</v>
      </c>
      <c r="D667" s="115"/>
      <c r="E667" s="115">
        <v>244</v>
      </c>
      <c r="F667" s="115">
        <v>340</v>
      </c>
      <c r="G667" s="122"/>
      <c r="H667" s="118">
        <f>I667+J667+K667+L667+M667+N667</f>
        <v>5024408.15</v>
      </c>
      <c r="I667" s="125">
        <f>I668+I669+I670+I672+I677+I673+I674</f>
        <v>654364.15</v>
      </c>
      <c r="J667" s="125">
        <f>J668+J669+J670+J672+J677</f>
        <v>0</v>
      </c>
      <c r="K667" s="125">
        <f>K668+K669+K670+K672+K677</f>
        <v>0</v>
      </c>
      <c r="L667" s="125">
        <f>L668+L669+L670+L672+L677</f>
        <v>0</v>
      </c>
      <c r="M667" s="125">
        <f>SUM(M668:M676)</f>
        <v>4370044</v>
      </c>
      <c r="N667" s="125">
        <f>N668+N669+N670+N672+N677</f>
        <v>0</v>
      </c>
    </row>
    <row r="668" spans="1:14" s="8" customFormat="1" ht="15" customHeight="1">
      <c r="A668" s="142" t="s">
        <v>4</v>
      </c>
      <c r="B668" s="115"/>
      <c r="C668" s="115"/>
      <c r="D668" s="115"/>
      <c r="E668" s="115"/>
      <c r="F668" s="115"/>
      <c r="G668" s="122"/>
      <c r="H668" s="118"/>
      <c r="I668" s="125"/>
      <c r="J668" s="125"/>
      <c r="K668" s="113"/>
      <c r="L668" s="113"/>
      <c r="M668" s="113"/>
      <c r="N668" s="113"/>
    </row>
    <row r="669" spans="1:14" s="8" customFormat="1" ht="15" customHeight="1">
      <c r="A669" s="142" t="s">
        <v>328</v>
      </c>
      <c r="B669" s="487"/>
      <c r="C669" s="487">
        <v>340</v>
      </c>
      <c r="D669" s="489">
        <v>800000000</v>
      </c>
      <c r="E669" s="487">
        <v>244</v>
      </c>
      <c r="F669" s="487">
        <v>341</v>
      </c>
      <c r="G669" s="493" t="s">
        <v>825</v>
      </c>
      <c r="H669" s="491">
        <f aca="true" t="shared" si="50" ref="H669:H677">I669+J669+K669+L669+M669+N669</f>
        <v>7000</v>
      </c>
      <c r="I669" s="486">
        <v>7000</v>
      </c>
      <c r="J669" s="125"/>
      <c r="K669" s="113"/>
      <c r="L669" s="113"/>
      <c r="M669" s="113"/>
      <c r="N669" s="113"/>
    </row>
    <row r="670" spans="1:14" s="8" customFormat="1" ht="15" customHeight="1">
      <c r="A670" s="142" t="s">
        <v>329</v>
      </c>
      <c r="B670" s="487"/>
      <c r="C670" s="487">
        <v>340</v>
      </c>
      <c r="D670" s="489">
        <v>800000000</v>
      </c>
      <c r="E670" s="487">
        <v>244</v>
      </c>
      <c r="F670" s="487">
        <v>342</v>
      </c>
      <c r="G670" s="493" t="s">
        <v>825</v>
      </c>
      <c r="H670" s="491">
        <f t="shared" si="50"/>
        <v>437421.05</v>
      </c>
      <c r="I670" s="486">
        <v>437421.05</v>
      </c>
      <c r="J670" s="125"/>
      <c r="K670" s="113"/>
      <c r="L670" s="113"/>
      <c r="M670" s="113"/>
      <c r="N670" s="113"/>
    </row>
    <row r="671" spans="1:14" s="8" customFormat="1" ht="15" customHeight="1">
      <c r="A671" s="142" t="s">
        <v>329</v>
      </c>
      <c r="B671" s="487"/>
      <c r="C671" s="487">
        <v>340</v>
      </c>
      <c r="D671" s="488" t="s">
        <v>521</v>
      </c>
      <c r="E671" s="487">
        <v>244</v>
      </c>
      <c r="F671" s="487">
        <v>342</v>
      </c>
      <c r="G671" s="494" t="s">
        <v>533</v>
      </c>
      <c r="H671" s="491">
        <f t="shared" si="50"/>
        <v>4230044</v>
      </c>
      <c r="I671" s="485">
        <v>0</v>
      </c>
      <c r="J671" s="485">
        <v>0</v>
      </c>
      <c r="K671" s="113">
        <v>0</v>
      </c>
      <c r="L671" s="113">
        <v>0</v>
      </c>
      <c r="M671" s="496">
        <v>4230044</v>
      </c>
      <c r="N671" s="113"/>
    </row>
    <row r="672" spans="1:14" s="8" customFormat="1" ht="15" customHeight="1">
      <c r="A672" s="142" t="s">
        <v>330</v>
      </c>
      <c r="B672" s="115"/>
      <c r="C672" s="115">
        <v>340</v>
      </c>
      <c r="D672" s="115">
        <v>800000000</v>
      </c>
      <c r="E672" s="115">
        <v>244</v>
      </c>
      <c r="F672" s="115">
        <v>346</v>
      </c>
      <c r="G672" s="102" t="s">
        <v>532</v>
      </c>
      <c r="H672" s="118">
        <f t="shared" si="50"/>
        <v>200597.04</v>
      </c>
      <c r="I672" s="125">
        <f>124943.1+75653.94</f>
        <v>200597.04</v>
      </c>
      <c r="J672" s="125"/>
      <c r="K672" s="113"/>
      <c r="L672" s="113"/>
      <c r="M672" s="113"/>
      <c r="N672" s="113"/>
    </row>
    <row r="673" spans="1:14" s="8" customFormat="1" ht="15" customHeight="1">
      <c r="A673" s="142" t="s">
        <v>330</v>
      </c>
      <c r="B673" s="487"/>
      <c r="C673" s="487">
        <v>340</v>
      </c>
      <c r="D673" s="489">
        <v>800000000</v>
      </c>
      <c r="E673" s="487">
        <v>244</v>
      </c>
      <c r="F673" s="487">
        <v>346</v>
      </c>
      <c r="G673" s="493" t="s">
        <v>825</v>
      </c>
      <c r="H673" s="491">
        <f t="shared" si="50"/>
        <v>9346.06</v>
      </c>
      <c r="I673" s="486">
        <v>9346.06</v>
      </c>
      <c r="J673" s="485">
        <v>0</v>
      </c>
      <c r="K673" s="113">
        <v>0</v>
      </c>
      <c r="L673" s="113">
        <v>0</v>
      </c>
      <c r="M673" s="496">
        <v>0</v>
      </c>
      <c r="N673" s="113"/>
    </row>
    <row r="674" spans="1:14" s="8" customFormat="1" ht="15" customHeight="1">
      <c r="A674" s="142" t="s">
        <v>330</v>
      </c>
      <c r="B674" s="487"/>
      <c r="C674" s="487">
        <v>340</v>
      </c>
      <c r="D674" s="489">
        <v>800000000</v>
      </c>
      <c r="E674" s="487">
        <v>244</v>
      </c>
      <c r="F674" s="487">
        <v>346</v>
      </c>
      <c r="G674" s="494" t="s">
        <v>532</v>
      </c>
      <c r="H674" s="491">
        <f t="shared" si="50"/>
        <v>0</v>
      </c>
      <c r="I674" s="486"/>
      <c r="J674" s="485">
        <v>0</v>
      </c>
      <c r="K674" s="113">
        <v>0</v>
      </c>
      <c r="L674" s="113">
        <v>0</v>
      </c>
      <c r="M674" s="496">
        <v>0</v>
      </c>
      <c r="N674" s="113"/>
    </row>
    <row r="675" spans="1:14" s="8" customFormat="1" ht="15" customHeight="1">
      <c r="A675" s="142" t="s">
        <v>846</v>
      </c>
      <c r="B675" s="487"/>
      <c r="C675" s="487">
        <v>340</v>
      </c>
      <c r="D675" s="488" t="s">
        <v>521</v>
      </c>
      <c r="E675" s="487">
        <v>244</v>
      </c>
      <c r="F675" s="487">
        <v>345</v>
      </c>
      <c r="G675" s="494" t="s">
        <v>533</v>
      </c>
      <c r="H675" s="491">
        <f t="shared" si="50"/>
        <v>100000</v>
      </c>
      <c r="I675" s="485">
        <v>0</v>
      </c>
      <c r="J675" s="485">
        <v>0</v>
      </c>
      <c r="K675" s="113">
        <v>0</v>
      </c>
      <c r="L675" s="113">
        <v>0</v>
      </c>
      <c r="M675" s="496">
        <v>100000</v>
      </c>
      <c r="N675" s="113"/>
    </row>
    <row r="676" spans="1:14" s="8" customFormat="1" ht="15" customHeight="1">
      <c r="A676" s="142" t="s">
        <v>330</v>
      </c>
      <c r="B676" s="487"/>
      <c r="C676" s="487">
        <v>340</v>
      </c>
      <c r="D676" s="488" t="s">
        <v>521</v>
      </c>
      <c r="E676" s="487">
        <v>244</v>
      </c>
      <c r="F676" s="487">
        <v>346</v>
      </c>
      <c r="G676" s="494" t="s">
        <v>533</v>
      </c>
      <c r="H676" s="491">
        <f t="shared" si="50"/>
        <v>40000</v>
      </c>
      <c r="I676" s="485">
        <v>0</v>
      </c>
      <c r="J676" s="485">
        <v>0</v>
      </c>
      <c r="K676" s="113">
        <v>0</v>
      </c>
      <c r="L676" s="113">
        <v>0</v>
      </c>
      <c r="M676" s="496">
        <v>40000</v>
      </c>
      <c r="N676" s="113"/>
    </row>
    <row r="677" spans="1:14" s="8" customFormat="1" ht="15" customHeight="1">
      <c r="A677" s="142" t="s">
        <v>331</v>
      </c>
      <c r="B677" s="115"/>
      <c r="C677" s="115"/>
      <c r="D677" s="115"/>
      <c r="E677" s="115"/>
      <c r="F677" s="115"/>
      <c r="G677" s="122"/>
      <c r="H677" s="118">
        <f t="shared" si="50"/>
        <v>0</v>
      </c>
      <c r="I677" s="125">
        <v>0</v>
      </c>
      <c r="J677" s="125"/>
      <c r="K677" s="113"/>
      <c r="L677" s="113"/>
      <c r="M677" s="113"/>
      <c r="N677" s="113"/>
    </row>
    <row r="678" spans="1:14" s="8" customFormat="1" ht="17.25" customHeight="1">
      <c r="A678" s="142" t="s">
        <v>332</v>
      </c>
      <c r="B678" s="115"/>
      <c r="C678" s="115">
        <v>530</v>
      </c>
      <c r="D678" s="115"/>
      <c r="E678" s="115">
        <v>465</v>
      </c>
      <c r="F678" s="115">
        <v>530</v>
      </c>
      <c r="G678" s="122"/>
      <c r="H678" s="118"/>
      <c r="I678" s="125"/>
      <c r="J678" s="125"/>
      <c r="K678" s="113"/>
      <c r="L678" s="113"/>
      <c r="M678" s="113"/>
      <c r="N678" s="113"/>
    </row>
    <row r="679" spans="1:14" s="8" customFormat="1" ht="17.25" customHeight="1">
      <c r="A679" s="142" t="s">
        <v>333</v>
      </c>
      <c r="B679" s="115"/>
      <c r="C679" s="115">
        <v>226</v>
      </c>
      <c r="D679" s="115">
        <v>800000000</v>
      </c>
      <c r="E679" s="115">
        <v>244</v>
      </c>
      <c r="F679" s="115">
        <v>226</v>
      </c>
      <c r="G679" s="122"/>
      <c r="H679" s="118">
        <f>I679+J679+K679+L679+M679+N679</f>
        <v>2187330.48</v>
      </c>
      <c r="I679" s="125">
        <f>SUM(I681:I689)</f>
        <v>1235315.9</v>
      </c>
      <c r="J679" s="125">
        <f>J681+J682+J683</f>
        <v>0</v>
      </c>
      <c r="K679" s="125">
        <f>K681+K682+K683</f>
        <v>0</v>
      </c>
      <c r="L679" s="125">
        <f>L681+L682+L683</f>
        <v>0</v>
      </c>
      <c r="M679" s="125">
        <f>M681+M691+M690</f>
        <v>952014.58</v>
      </c>
      <c r="N679" s="125">
        <f>N681+N682+N683</f>
        <v>0</v>
      </c>
    </row>
    <row r="680" spans="1:14" s="8" customFormat="1" ht="17.25" customHeight="1">
      <c r="A680" s="142" t="s">
        <v>4</v>
      </c>
      <c r="B680" s="115"/>
      <c r="C680" s="115"/>
      <c r="D680" s="115"/>
      <c r="E680" s="115"/>
      <c r="F680" s="115"/>
      <c r="G680" s="122"/>
      <c r="H680" s="118"/>
      <c r="I680" s="125"/>
      <c r="J680" s="125"/>
      <c r="K680" s="113"/>
      <c r="L680" s="113"/>
      <c r="M680" s="113"/>
      <c r="N680" s="113"/>
    </row>
    <row r="681" spans="1:14" s="8" customFormat="1" ht="17.25" customHeight="1">
      <c r="A681" s="142" t="s">
        <v>334</v>
      </c>
      <c r="B681" s="115"/>
      <c r="C681" s="115"/>
      <c r="D681" s="115"/>
      <c r="E681" s="115"/>
      <c r="F681" s="115"/>
      <c r="G681" s="122"/>
      <c r="H681" s="118">
        <f aca="true" t="shared" si="51" ref="H681:H692">I681+J681+K681+L681+M681+N681</f>
        <v>0</v>
      </c>
      <c r="I681" s="125"/>
      <c r="J681" s="125"/>
      <c r="K681" s="113"/>
      <c r="L681" s="113"/>
      <c r="M681" s="113"/>
      <c r="N681" s="113"/>
    </row>
    <row r="682" spans="1:14" s="8" customFormat="1" ht="28.5" customHeight="1">
      <c r="A682" s="142" t="s">
        <v>335</v>
      </c>
      <c r="B682" s="115"/>
      <c r="C682" s="115"/>
      <c r="D682" s="115"/>
      <c r="E682" s="115"/>
      <c r="F682" s="115"/>
      <c r="G682" s="122"/>
      <c r="H682" s="118">
        <f t="shared" si="51"/>
        <v>0</v>
      </c>
      <c r="I682" s="125"/>
      <c r="J682" s="125"/>
      <c r="K682" s="113"/>
      <c r="L682" s="113"/>
      <c r="M682" s="113"/>
      <c r="N682" s="113"/>
    </row>
    <row r="683" spans="1:14" s="8" customFormat="1" ht="17.25" customHeight="1">
      <c r="A683" s="142" t="s">
        <v>336</v>
      </c>
      <c r="B683" s="115"/>
      <c r="C683" s="115">
        <v>226</v>
      </c>
      <c r="D683" s="115">
        <v>800000000</v>
      </c>
      <c r="E683" s="115">
        <v>244</v>
      </c>
      <c r="F683" s="115">
        <v>226</v>
      </c>
      <c r="G683" s="102" t="s">
        <v>531</v>
      </c>
      <c r="H683" s="118">
        <f t="shared" si="51"/>
        <v>105269</v>
      </c>
      <c r="I683" s="125">
        <f>101269+4000</f>
        <v>105269</v>
      </c>
      <c r="J683" s="125"/>
      <c r="K683" s="113"/>
      <c r="L683" s="113"/>
      <c r="M683" s="113"/>
      <c r="N683" s="113"/>
    </row>
    <row r="684" spans="1:14" s="8" customFormat="1" ht="17.25" customHeight="1">
      <c r="A684" s="142" t="s">
        <v>336</v>
      </c>
      <c r="B684" s="115"/>
      <c r="C684" s="115">
        <v>226</v>
      </c>
      <c r="D684" s="115">
        <v>800000000</v>
      </c>
      <c r="E684" s="115">
        <v>244</v>
      </c>
      <c r="F684" s="115">
        <v>226</v>
      </c>
      <c r="G684" s="102" t="s">
        <v>532</v>
      </c>
      <c r="H684" s="118">
        <f t="shared" si="51"/>
        <v>351045.33999999997</v>
      </c>
      <c r="I684" s="125">
        <f>204187.9+146857.44</f>
        <v>351045.33999999997</v>
      </c>
      <c r="J684" s="125"/>
      <c r="K684" s="113"/>
      <c r="L684" s="113"/>
      <c r="M684" s="113"/>
      <c r="N684" s="113"/>
    </row>
    <row r="685" spans="1:14" s="8" customFormat="1" ht="17.25" customHeight="1" hidden="1">
      <c r="A685" s="142" t="s">
        <v>335</v>
      </c>
      <c r="B685" s="487"/>
      <c r="C685" s="489">
        <v>226</v>
      </c>
      <c r="D685" s="489">
        <v>800000000</v>
      </c>
      <c r="E685" s="489">
        <v>244</v>
      </c>
      <c r="F685" s="489">
        <v>226</v>
      </c>
      <c r="G685" s="493" t="s">
        <v>825</v>
      </c>
      <c r="H685" s="491">
        <f t="shared" si="51"/>
        <v>0</v>
      </c>
      <c r="I685" s="486"/>
      <c r="J685" s="125"/>
      <c r="K685" s="113"/>
      <c r="L685" s="113"/>
      <c r="M685" s="113"/>
      <c r="N685" s="113"/>
    </row>
    <row r="686" spans="1:14" s="8" customFormat="1" ht="17.25" customHeight="1">
      <c r="A686" s="142" t="s">
        <v>336</v>
      </c>
      <c r="B686" s="487"/>
      <c r="C686" s="489">
        <v>226</v>
      </c>
      <c r="D686" s="489">
        <v>800000000</v>
      </c>
      <c r="E686" s="489">
        <v>244</v>
      </c>
      <c r="F686" s="489">
        <v>226</v>
      </c>
      <c r="G686" s="490" t="s">
        <v>535</v>
      </c>
      <c r="H686" s="491">
        <f>I686+J686+K686+L686+M686+N686</f>
        <v>8000</v>
      </c>
      <c r="I686" s="486">
        <v>8000</v>
      </c>
      <c r="J686" s="125"/>
      <c r="K686" s="113"/>
      <c r="L686" s="113"/>
      <c r="M686" s="113"/>
      <c r="N686" s="113"/>
    </row>
    <row r="687" spans="1:14" s="8" customFormat="1" ht="17.25" customHeight="1" hidden="1">
      <c r="A687" s="142" t="s">
        <v>336</v>
      </c>
      <c r="B687" s="487"/>
      <c r="C687" s="489">
        <v>226</v>
      </c>
      <c r="D687" s="489">
        <v>800000000</v>
      </c>
      <c r="E687" s="489">
        <v>244</v>
      </c>
      <c r="F687" s="489">
        <v>226</v>
      </c>
      <c r="G687" s="490" t="s">
        <v>531</v>
      </c>
      <c r="H687" s="491">
        <f t="shared" si="51"/>
        <v>0</v>
      </c>
      <c r="I687" s="486"/>
      <c r="J687" s="125"/>
      <c r="K687" s="113"/>
      <c r="L687" s="113"/>
      <c r="M687" s="113"/>
      <c r="N687" s="113"/>
    </row>
    <row r="688" spans="1:14" s="8" customFormat="1" ht="17.25" customHeight="1">
      <c r="A688" s="142" t="s">
        <v>336</v>
      </c>
      <c r="B688" s="487"/>
      <c r="C688" s="487">
        <v>226</v>
      </c>
      <c r="D688" s="489">
        <v>800000000</v>
      </c>
      <c r="E688" s="487">
        <v>244</v>
      </c>
      <c r="F688" s="487">
        <v>226</v>
      </c>
      <c r="G688" s="493" t="s">
        <v>825</v>
      </c>
      <c r="H688" s="491">
        <f t="shared" si="51"/>
        <v>771001.56</v>
      </c>
      <c r="I688" s="486">
        <f>768001.56+3000</f>
        <v>771001.56</v>
      </c>
      <c r="J688" s="125"/>
      <c r="K688" s="113"/>
      <c r="L688" s="113"/>
      <c r="M688" s="113"/>
      <c r="N688" s="113"/>
    </row>
    <row r="689" spans="1:14" s="8" customFormat="1" ht="17.25" customHeight="1">
      <c r="A689" s="142" t="s">
        <v>336</v>
      </c>
      <c r="B689" s="487"/>
      <c r="C689" s="487">
        <v>226</v>
      </c>
      <c r="D689" s="489">
        <v>800000000</v>
      </c>
      <c r="E689" s="487">
        <v>244</v>
      </c>
      <c r="F689" s="487">
        <v>226</v>
      </c>
      <c r="G689" s="494" t="s">
        <v>532</v>
      </c>
      <c r="H689" s="491">
        <f t="shared" si="51"/>
        <v>0</v>
      </c>
      <c r="I689" s="486"/>
      <c r="J689" s="125"/>
      <c r="K689" s="113"/>
      <c r="L689" s="113"/>
      <c r="M689" s="113"/>
      <c r="N689" s="113"/>
    </row>
    <row r="690" spans="1:14" s="8" customFormat="1" ht="17.25" customHeight="1">
      <c r="A690" s="142" t="s">
        <v>336</v>
      </c>
      <c r="B690" s="115"/>
      <c r="C690" s="115">
        <v>226</v>
      </c>
      <c r="D690" s="116" t="s">
        <v>521</v>
      </c>
      <c r="E690" s="115">
        <v>244</v>
      </c>
      <c r="F690" s="115">
        <v>226</v>
      </c>
      <c r="G690" s="102" t="s">
        <v>533</v>
      </c>
      <c r="H690" s="118">
        <f t="shared" si="51"/>
        <v>952014.58</v>
      </c>
      <c r="I690" s="125">
        <v>0</v>
      </c>
      <c r="J690" s="125"/>
      <c r="K690" s="113"/>
      <c r="L690" s="113"/>
      <c r="M690" s="113">
        <f>774014.58+178000</f>
        <v>952014.58</v>
      </c>
      <c r="N690" s="113"/>
    </row>
    <row r="691" spans="1:14" s="8" customFormat="1" ht="17.25" customHeight="1" hidden="1">
      <c r="A691" s="142" t="s">
        <v>336</v>
      </c>
      <c r="B691" s="487"/>
      <c r="C691" s="487">
        <v>226</v>
      </c>
      <c r="D691" s="488" t="s">
        <v>521</v>
      </c>
      <c r="E691" s="487"/>
      <c r="F691" s="487">
        <v>226</v>
      </c>
      <c r="G691" s="494" t="s">
        <v>533</v>
      </c>
      <c r="H691" s="491">
        <f t="shared" si="51"/>
        <v>0</v>
      </c>
      <c r="I691" s="485">
        <v>0</v>
      </c>
      <c r="J691" s="485">
        <v>0</v>
      </c>
      <c r="K691" s="113">
        <v>0</v>
      </c>
      <c r="L691" s="113">
        <v>0</v>
      </c>
      <c r="M691" s="497"/>
      <c r="N691" s="113"/>
    </row>
    <row r="692" spans="1:14" s="8" customFormat="1" ht="17.25" customHeight="1">
      <c r="A692" s="142" t="s">
        <v>400</v>
      </c>
      <c r="B692" s="115"/>
      <c r="C692" s="115">
        <v>296</v>
      </c>
      <c r="D692" s="115"/>
      <c r="E692" s="115">
        <v>244</v>
      </c>
      <c r="F692" s="115">
        <v>296</v>
      </c>
      <c r="G692" s="122"/>
      <c r="H692" s="118">
        <f t="shared" si="51"/>
        <v>0</v>
      </c>
      <c r="I692" s="125"/>
      <c r="J692" s="125"/>
      <c r="K692" s="113"/>
      <c r="L692" s="113"/>
      <c r="M692" s="113"/>
      <c r="N692" s="113"/>
    </row>
    <row r="693" spans="1:14" s="8" customFormat="1" ht="17.25" customHeight="1">
      <c r="A693" s="136" t="s">
        <v>53</v>
      </c>
      <c r="B693" s="115">
        <v>300</v>
      </c>
      <c r="C693" s="115" t="s">
        <v>10</v>
      </c>
      <c r="D693" s="115"/>
      <c r="E693" s="115"/>
      <c r="F693" s="115" t="s">
        <v>10</v>
      </c>
      <c r="G693" s="122"/>
      <c r="H693" s="118">
        <f>H695+H696</f>
        <v>0</v>
      </c>
      <c r="I693" s="125">
        <f aca="true" t="shared" si="52" ref="I693:N693">I695+I696</f>
        <v>0</v>
      </c>
      <c r="J693" s="125">
        <f t="shared" si="52"/>
        <v>0</v>
      </c>
      <c r="K693" s="125">
        <f t="shared" si="52"/>
        <v>0</v>
      </c>
      <c r="L693" s="125">
        <f t="shared" si="52"/>
        <v>0</v>
      </c>
      <c r="M693" s="125">
        <f t="shared" si="52"/>
        <v>0</v>
      </c>
      <c r="N693" s="125">
        <f t="shared" si="52"/>
        <v>0</v>
      </c>
    </row>
    <row r="694" spans="1:14" s="8" customFormat="1" ht="14.25" customHeight="1">
      <c r="A694" s="136" t="s">
        <v>3</v>
      </c>
      <c r="B694" s="115"/>
      <c r="C694" s="148"/>
      <c r="D694" s="115"/>
      <c r="E694" s="115"/>
      <c r="F694" s="148"/>
      <c r="G694" s="149"/>
      <c r="H694" s="118"/>
      <c r="I694" s="125"/>
      <c r="J694" s="125"/>
      <c r="K694" s="113"/>
      <c r="L694" s="113"/>
      <c r="M694" s="113"/>
      <c r="N694" s="113"/>
    </row>
    <row r="695" spans="1:14" s="8" customFormat="1" ht="16.5" customHeight="1">
      <c r="A695" s="136" t="s">
        <v>54</v>
      </c>
      <c r="B695" s="144">
        <v>310</v>
      </c>
      <c r="C695" s="150"/>
      <c r="D695" s="144"/>
      <c r="E695" s="144"/>
      <c r="F695" s="150"/>
      <c r="G695" s="151"/>
      <c r="H695" s="118">
        <f>I695+J695+K695+L695+M695+N695</f>
        <v>0</v>
      </c>
      <c r="I695" s="125"/>
      <c r="J695" s="125"/>
      <c r="K695" s="113"/>
      <c r="L695" s="113"/>
      <c r="M695" s="113"/>
      <c r="N695" s="113"/>
    </row>
    <row r="696" spans="1:14" s="152" customFormat="1" ht="15" customHeight="1">
      <c r="A696" s="136" t="s">
        <v>55</v>
      </c>
      <c r="B696" s="115">
        <v>320</v>
      </c>
      <c r="C696" s="115"/>
      <c r="D696" s="115"/>
      <c r="E696" s="115"/>
      <c r="F696" s="115"/>
      <c r="G696" s="122"/>
      <c r="H696" s="118">
        <f>I696+J696+K696+L696+M696+N696</f>
        <v>0</v>
      </c>
      <c r="I696" s="125"/>
      <c r="J696" s="125"/>
      <c r="K696" s="113"/>
      <c r="L696" s="113"/>
      <c r="M696" s="113"/>
      <c r="N696" s="113"/>
    </row>
    <row r="697" spans="1:14" s="152" customFormat="1" ht="17.25" customHeight="1">
      <c r="A697" s="136" t="s">
        <v>56</v>
      </c>
      <c r="B697" s="115">
        <v>400</v>
      </c>
      <c r="C697" s="115"/>
      <c r="D697" s="115"/>
      <c r="E697" s="115"/>
      <c r="F697" s="115"/>
      <c r="G697" s="122"/>
      <c r="H697" s="118">
        <f>H699+H700</f>
        <v>0</v>
      </c>
      <c r="I697" s="125">
        <f aca="true" t="shared" si="53" ref="I697:N697">I699+I700</f>
        <v>0</v>
      </c>
      <c r="J697" s="125">
        <f t="shared" si="53"/>
        <v>0</v>
      </c>
      <c r="K697" s="125">
        <f t="shared" si="53"/>
        <v>0</v>
      </c>
      <c r="L697" s="125">
        <f t="shared" si="53"/>
        <v>0</v>
      </c>
      <c r="M697" s="125">
        <f t="shared" si="53"/>
        <v>0</v>
      </c>
      <c r="N697" s="125">
        <f t="shared" si="53"/>
        <v>0</v>
      </c>
    </row>
    <row r="698" spans="1:14" s="152" customFormat="1" ht="14.25" customHeight="1">
      <c r="A698" s="136" t="s">
        <v>3</v>
      </c>
      <c r="B698" s="115"/>
      <c r="C698" s="148"/>
      <c r="D698" s="115"/>
      <c r="E698" s="115"/>
      <c r="F698" s="148"/>
      <c r="G698" s="149"/>
      <c r="H698" s="118"/>
      <c r="I698" s="125"/>
      <c r="J698" s="125"/>
      <c r="K698" s="113"/>
      <c r="L698" s="113"/>
      <c r="M698" s="113"/>
      <c r="N698" s="113"/>
    </row>
    <row r="699" spans="1:14" s="152" customFormat="1" ht="15.75" customHeight="1">
      <c r="A699" s="136" t="s">
        <v>57</v>
      </c>
      <c r="B699" s="144">
        <v>410</v>
      </c>
      <c r="C699" s="150"/>
      <c r="D699" s="144"/>
      <c r="E699" s="144"/>
      <c r="F699" s="150"/>
      <c r="G699" s="151"/>
      <c r="H699" s="118">
        <f aca="true" t="shared" si="54" ref="H699:H709">I699+J699+K699+L699+M699+N699</f>
        <v>0</v>
      </c>
      <c r="I699" s="125"/>
      <c r="J699" s="125"/>
      <c r="K699" s="113"/>
      <c r="L699" s="113"/>
      <c r="M699" s="113"/>
      <c r="N699" s="113"/>
    </row>
    <row r="700" spans="1:14" s="152" customFormat="1" ht="13.5" customHeight="1">
      <c r="A700" s="136" t="s">
        <v>58</v>
      </c>
      <c r="B700" s="115">
        <v>420</v>
      </c>
      <c r="C700" s="115"/>
      <c r="D700" s="115"/>
      <c r="E700" s="115"/>
      <c r="F700" s="115"/>
      <c r="G700" s="122"/>
      <c r="H700" s="118">
        <f t="shared" si="54"/>
        <v>0</v>
      </c>
      <c r="I700" s="125"/>
      <c r="J700" s="125"/>
      <c r="K700" s="113"/>
      <c r="L700" s="113"/>
      <c r="M700" s="113"/>
      <c r="N700" s="113"/>
    </row>
    <row r="701" spans="1:14" s="152" customFormat="1" ht="28.5" customHeight="1">
      <c r="A701" s="136" t="s">
        <v>337</v>
      </c>
      <c r="B701" s="115">
        <v>500</v>
      </c>
      <c r="C701" s="115" t="s">
        <v>10</v>
      </c>
      <c r="D701" s="115"/>
      <c r="E701" s="115"/>
      <c r="F701" s="115" t="s">
        <v>10</v>
      </c>
      <c r="G701" s="122"/>
      <c r="H701" s="118">
        <f t="shared" si="54"/>
        <v>0</v>
      </c>
      <c r="I701" s="125">
        <f>I702+I703</f>
        <v>0</v>
      </c>
      <c r="J701" s="125">
        <f>J702+J703</f>
        <v>0</v>
      </c>
      <c r="K701" s="125">
        <f>K702+K703</f>
        <v>0</v>
      </c>
      <c r="L701" s="125">
        <f>L702+L703</f>
        <v>0</v>
      </c>
      <c r="M701" s="125">
        <f>M702+M703+M704+M705+M706+M707</f>
        <v>0</v>
      </c>
      <c r="N701" s="125">
        <f>N702+N703</f>
        <v>0</v>
      </c>
    </row>
    <row r="702" spans="1:14" s="152" customFormat="1" ht="18" customHeight="1">
      <c r="A702" s="136" t="s">
        <v>59</v>
      </c>
      <c r="B702" s="115"/>
      <c r="C702" s="115">
        <v>131</v>
      </c>
      <c r="D702" s="115">
        <v>800000000</v>
      </c>
      <c r="E702" s="115"/>
      <c r="F702" s="115">
        <v>131</v>
      </c>
      <c r="G702" s="102" t="s">
        <v>532</v>
      </c>
      <c r="H702" s="118">
        <f t="shared" si="54"/>
        <v>0</v>
      </c>
      <c r="I702" s="153">
        <v>0</v>
      </c>
      <c r="J702" s="125"/>
      <c r="K702" s="113"/>
      <c r="L702" s="113"/>
      <c r="M702" s="113"/>
      <c r="N702" s="113"/>
    </row>
    <row r="703" spans="1:14" s="152" customFormat="1" ht="18" customHeight="1">
      <c r="A703" s="136" t="s">
        <v>59</v>
      </c>
      <c r="B703" s="115"/>
      <c r="C703" s="115">
        <v>152</v>
      </c>
      <c r="D703" s="115">
        <v>901480000</v>
      </c>
      <c r="E703" s="115"/>
      <c r="F703" s="115">
        <v>152</v>
      </c>
      <c r="G703" s="122" t="s">
        <v>535</v>
      </c>
      <c r="H703" s="118">
        <f t="shared" si="54"/>
        <v>0</v>
      </c>
      <c r="I703" s="153">
        <v>0</v>
      </c>
      <c r="J703" s="125"/>
      <c r="K703" s="113"/>
      <c r="L703" s="113"/>
      <c r="M703" s="113"/>
      <c r="N703" s="113"/>
    </row>
    <row r="704" spans="1:14" s="152" customFormat="1" ht="18" customHeight="1">
      <c r="A704" s="136" t="s">
        <v>59</v>
      </c>
      <c r="B704" s="115"/>
      <c r="C704" s="115">
        <v>121</v>
      </c>
      <c r="D704" s="116" t="s">
        <v>521</v>
      </c>
      <c r="E704" s="115"/>
      <c r="F704" s="115">
        <v>121</v>
      </c>
      <c r="G704" s="102" t="s">
        <v>533</v>
      </c>
      <c r="H704" s="118">
        <f t="shared" si="54"/>
        <v>0</v>
      </c>
      <c r="I704" s="153">
        <v>0</v>
      </c>
      <c r="J704" s="125"/>
      <c r="K704" s="113"/>
      <c r="L704" s="113"/>
      <c r="M704" s="113"/>
      <c r="N704" s="113"/>
    </row>
    <row r="705" spans="1:14" s="152" customFormat="1" ht="18" customHeight="1">
      <c r="A705" s="136" t="s">
        <v>59</v>
      </c>
      <c r="B705" s="115"/>
      <c r="C705" s="115">
        <v>131</v>
      </c>
      <c r="D705" s="116" t="s">
        <v>521</v>
      </c>
      <c r="E705" s="115"/>
      <c r="F705" s="115">
        <v>131</v>
      </c>
      <c r="G705" s="102" t="s">
        <v>533</v>
      </c>
      <c r="H705" s="118">
        <f t="shared" si="54"/>
        <v>0</v>
      </c>
      <c r="I705" s="153">
        <v>0</v>
      </c>
      <c r="J705" s="125"/>
      <c r="K705" s="113"/>
      <c r="L705" s="113"/>
      <c r="M705" s="113"/>
      <c r="N705" s="113"/>
    </row>
    <row r="706" spans="1:14" s="152" customFormat="1" ht="18" customHeight="1">
      <c r="A706" s="136" t="s">
        <v>59</v>
      </c>
      <c r="B706" s="115"/>
      <c r="C706" s="115">
        <v>135</v>
      </c>
      <c r="D706" s="116" t="s">
        <v>521</v>
      </c>
      <c r="E706" s="115"/>
      <c r="F706" s="115">
        <v>135</v>
      </c>
      <c r="G706" s="102" t="s">
        <v>533</v>
      </c>
      <c r="H706" s="118">
        <f t="shared" si="54"/>
        <v>0</v>
      </c>
      <c r="I706" s="153">
        <v>0</v>
      </c>
      <c r="J706" s="125"/>
      <c r="K706" s="113"/>
      <c r="L706" s="113"/>
      <c r="M706" s="113"/>
      <c r="N706" s="113"/>
    </row>
    <row r="707" spans="1:14" s="152" customFormat="1" ht="18" customHeight="1">
      <c r="A707" s="136" t="s">
        <v>59</v>
      </c>
      <c r="B707" s="115"/>
      <c r="C707" s="115">
        <v>189</v>
      </c>
      <c r="D707" s="116" t="s">
        <v>521</v>
      </c>
      <c r="E707" s="115"/>
      <c r="F707" s="115">
        <v>189</v>
      </c>
      <c r="G707" s="102" t="s">
        <v>533</v>
      </c>
      <c r="H707" s="118">
        <f t="shared" si="54"/>
        <v>0</v>
      </c>
      <c r="I707" s="153">
        <v>0</v>
      </c>
      <c r="J707" s="125"/>
      <c r="K707" s="113"/>
      <c r="L707" s="113"/>
      <c r="M707" s="113"/>
      <c r="N707" s="113"/>
    </row>
    <row r="708" spans="1:14" s="152" customFormat="1" ht="18" customHeight="1">
      <c r="A708" s="136" t="s">
        <v>60</v>
      </c>
      <c r="B708" s="115">
        <v>600</v>
      </c>
      <c r="C708" s="115" t="s">
        <v>10</v>
      </c>
      <c r="D708" s="115"/>
      <c r="E708" s="115"/>
      <c r="F708" s="115" t="s">
        <v>10</v>
      </c>
      <c r="G708" s="122"/>
      <c r="H708" s="118">
        <f t="shared" si="54"/>
        <v>0</v>
      </c>
      <c r="I708" s="118">
        <f>I508-I570</f>
        <v>0</v>
      </c>
      <c r="J708" s="118">
        <f>J508-J570</f>
        <v>0</v>
      </c>
      <c r="K708" s="118"/>
      <c r="L708" s="118"/>
      <c r="M708" s="118">
        <f>M508-M570</f>
        <v>0</v>
      </c>
      <c r="N708" s="120"/>
    </row>
    <row r="709" spans="1:14" s="152" customFormat="1" ht="18" customHeight="1">
      <c r="A709" s="136" t="s">
        <v>60</v>
      </c>
      <c r="B709" s="115">
        <v>600</v>
      </c>
      <c r="C709" s="115" t="s">
        <v>10</v>
      </c>
      <c r="D709" s="115"/>
      <c r="E709" s="115"/>
      <c r="F709" s="115" t="s">
        <v>10</v>
      </c>
      <c r="G709" s="122"/>
      <c r="H709" s="118">
        <f t="shared" si="54"/>
        <v>0</v>
      </c>
      <c r="I709" s="118">
        <f>I508-I570</f>
        <v>0</v>
      </c>
      <c r="J709" s="118">
        <f>J508-J570</f>
        <v>0</v>
      </c>
      <c r="K709" s="118"/>
      <c r="L709" s="118"/>
      <c r="M709" s="118">
        <f>M508-M570</f>
        <v>0</v>
      </c>
      <c r="N709" s="120"/>
    </row>
    <row r="710" spans="1:14" ht="15">
      <c r="A710" s="39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</row>
  </sheetData>
  <sheetProtection/>
  <mergeCells count="53">
    <mergeCell ref="J505:J506"/>
    <mergeCell ref="C6:C9"/>
    <mergeCell ref="C293:C296"/>
    <mergeCell ref="C503:C506"/>
    <mergeCell ref="G6:G9"/>
    <mergeCell ref="H6:N6"/>
    <mergeCell ref="H7:H9"/>
    <mergeCell ref="M8:N8"/>
    <mergeCell ref="I7:N7"/>
    <mergeCell ref="I8:I9"/>
    <mergeCell ref="A1:N1"/>
    <mergeCell ref="A6:A9"/>
    <mergeCell ref="B6:B9"/>
    <mergeCell ref="F6:F9"/>
    <mergeCell ref="H4:K4"/>
    <mergeCell ref="H3:K3"/>
    <mergeCell ref="L8:L9"/>
    <mergeCell ref="J8:J9"/>
    <mergeCell ref="D6:D9"/>
    <mergeCell ref="E6:E9"/>
    <mergeCell ref="G293:G296"/>
    <mergeCell ref="H293:N293"/>
    <mergeCell ref="H294:H296"/>
    <mergeCell ref="K8:K9"/>
    <mergeCell ref="I294:N294"/>
    <mergeCell ref="I295:I296"/>
    <mergeCell ref="K295:K296"/>
    <mergeCell ref="I504:N504"/>
    <mergeCell ref="H289:K289"/>
    <mergeCell ref="H290:K290"/>
    <mergeCell ref="H291:K291"/>
    <mergeCell ref="A293:A296"/>
    <mergeCell ref="B293:B296"/>
    <mergeCell ref="D293:D296"/>
    <mergeCell ref="E293:E296"/>
    <mergeCell ref="J295:J296"/>
    <mergeCell ref="F293:F296"/>
    <mergeCell ref="A503:A506"/>
    <mergeCell ref="B503:B506"/>
    <mergeCell ref="D503:D506"/>
    <mergeCell ref="E503:E506"/>
    <mergeCell ref="F503:F506"/>
    <mergeCell ref="G503:G506"/>
    <mergeCell ref="K505:K506"/>
    <mergeCell ref="L505:L506"/>
    <mergeCell ref="M505:N505"/>
    <mergeCell ref="L295:L296"/>
    <mergeCell ref="M295:N295"/>
    <mergeCell ref="H500:K500"/>
    <mergeCell ref="H501:K501"/>
    <mergeCell ref="H503:N503"/>
    <mergeCell ref="H504:H506"/>
    <mergeCell ref="I505:I506"/>
  </mergeCells>
  <printOptions/>
  <pageMargins left="0.2755905511811024" right="0" top="0.35433070866141736" bottom="0.15748031496062992" header="0.15748031496062992" footer="0.2362204724409449"/>
  <pageSetup fitToHeight="9" horizontalDpi="600" verticalDpi="600" orientation="portrait" paperSize="9" scale="53" r:id="rId1"/>
  <rowBreaks count="11" manualBreakCount="11">
    <brk id="56" max="13" man="1"/>
    <brk id="93" max="13" man="1"/>
    <brk id="129" max="13" man="1"/>
    <brk id="175" max="13" man="1"/>
    <brk id="266" max="13" man="1"/>
    <brk id="287" max="13" man="1"/>
    <brk id="350" max="13" man="1"/>
    <brk id="415" max="13" man="1"/>
    <brk id="497" max="13" man="1"/>
    <brk id="557" max="13" man="1"/>
    <brk id="626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3:E37"/>
  <sheetViews>
    <sheetView zoomScalePageLayoutView="0" workbookViewId="0" topLeftCell="A17">
      <selection activeCell="B17" sqref="B1:E16384"/>
    </sheetView>
  </sheetViews>
  <sheetFormatPr defaultColWidth="9.140625" defaultRowHeight="15"/>
  <cols>
    <col min="1" max="1" width="5.7109375" style="0" customWidth="1"/>
    <col min="2" max="2" width="21.57421875" style="0" customWidth="1"/>
    <col min="3" max="3" width="31.421875" style="0" customWidth="1"/>
    <col min="4" max="4" width="17.00390625" style="0" customWidth="1"/>
    <col min="5" max="5" width="19.00390625" style="0" customWidth="1"/>
  </cols>
  <sheetData>
    <row r="3" spans="2:5" ht="30.75" customHeight="1">
      <c r="B3" s="56" t="s">
        <v>221</v>
      </c>
      <c r="C3" s="56" t="s">
        <v>1</v>
      </c>
      <c r="D3" s="56" t="s">
        <v>168</v>
      </c>
      <c r="E3" s="56" t="s">
        <v>172</v>
      </c>
    </row>
    <row r="4" spans="2:5" ht="38.25">
      <c r="B4" s="81" t="s">
        <v>408</v>
      </c>
      <c r="C4" s="87" t="s">
        <v>171</v>
      </c>
      <c r="D4" s="85" t="s">
        <v>169</v>
      </c>
      <c r="E4" s="55" t="s">
        <v>420</v>
      </c>
    </row>
    <row r="5" spans="2:5" ht="76.5">
      <c r="B5" s="81" t="s">
        <v>409</v>
      </c>
      <c r="C5" s="87" t="s">
        <v>170</v>
      </c>
      <c r="D5" s="85" t="s">
        <v>169</v>
      </c>
      <c r="E5" s="55" t="s">
        <v>339</v>
      </c>
    </row>
    <row r="6" spans="2:5" ht="63.75">
      <c r="B6" s="81" t="s">
        <v>412</v>
      </c>
      <c r="C6" s="87" t="s">
        <v>173</v>
      </c>
      <c r="D6" s="85" t="s">
        <v>169</v>
      </c>
      <c r="E6" s="55" t="s">
        <v>174</v>
      </c>
    </row>
    <row r="7" spans="2:5" ht="80.25" customHeight="1">
      <c r="B7" s="81" t="s">
        <v>413</v>
      </c>
      <c r="C7" s="87" t="s">
        <v>175</v>
      </c>
      <c r="D7" s="85" t="s">
        <v>176</v>
      </c>
      <c r="E7" s="55" t="s">
        <v>174</v>
      </c>
    </row>
    <row r="8" spans="2:5" ht="76.5">
      <c r="B8" s="81" t="s">
        <v>414</v>
      </c>
      <c r="C8" s="87" t="s">
        <v>177</v>
      </c>
      <c r="D8" s="85" t="s">
        <v>176</v>
      </c>
      <c r="E8" s="55" t="s">
        <v>178</v>
      </c>
    </row>
    <row r="9" spans="2:5" ht="25.5">
      <c r="B9" s="81" t="s">
        <v>411</v>
      </c>
      <c r="C9" s="87" t="s">
        <v>465</v>
      </c>
      <c r="D9" s="85" t="s">
        <v>479</v>
      </c>
      <c r="E9" s="55" t="s">
        <v>179</v>
      </c>
    </row>
    <row r="10" spans="2:5" ht="38.25">
      <c r="B10" s="81" t="s">
        <v>410</v>
      </c>
      <c r="C10" s="87" t="s">
        <v>180</v>
      </c>
      <c r="D10" s="85" t="s">
        <v>169</v>
      </c>
      <c r="E10" s="55" t="s">
        <v>181</v>
      </c>
    </row>
    <row r="11" spans="2:5" ht="102">
      <c r="B11" s="81" t="s">
        <v>415</v>
      </c>
      <c r="C11" s="87" t="s">
        <v>171</v>
      </c>
      <c r="D11" s="85" t="s">
        <v>186</v>
      </c>
      <c r="E11" s="55" t="s">
        <v>341</v>
      </c>
    </row>
    <row r="12" spans="2:5" ht="76.5">
      <c r="B12" s="81" t="s">
        <v>416</v>
      </c>
      <c r="C12" s="87" t="s">
        <v>170</v>
      </c>
      <c r="D12" s="85" t="s">
        <v>183</v>
      </c>
      <c r="E12" s="55" t="s">
        <v>340</v>
      </c>
    </row>
    <row r="13" spans="2:5" ht="216.75">
      <c r="B13" s="81" t="s">
        <v>417</v>
      </c>
      <c r="C13" s="88" t="s">
        <v>184</v>
      </c>
      <c r="D13" s="85" t="s">
        <v>185</v>
      </c>
      <c r="E13" s="55" t="s">
        <v>187</v>
      </c>
    </row>
    <row r="14" spans="2:5" ht="217.5" customHeight="1">
      <c r="B14" s="81" t="s">
        <v>418</v>
      </c>
      <c r="C14" s="88" t="s">
        <v>184</v>
      </c>
      <c r="D14" s="85" t="s">
        <v>185</v>
      </c>
      <c r="E14" s="55" t="s">
        <v>187</v>
      </c>
    </row>
    <row r="15" spans="2:5" ht="76.5">
      <c r="B15" s="81" t="s">
        <v>468</v>
      </c>
      <c r="C15" s="86" t="s">
        <v>188</v>
      </c>
      <c r="D15" s="85" t="s">
        <v>189</v>
      </c>
      <c r="E15" s="55" t="s">
        <v>222</v>
      </c>
    </row>
    <row r="16" spans="2:5" ht="25.5">
      <c r="B16" s="81" t="s">
        <v>459</v>
      </c>
      <c r="C16" s="86" t="s">
        <v>460</v>
      </c>
      <c r="D16" s="85" t="s">
        <v>461</v>
      </c>
      <c r="E16" s="55" t="s">
        <v>462</v>
      </c>
    </row>
    <row r="17" spans="2:5" ht="38.25">
      <c r="B17" s="81" t="s">
        <v>463</v>
      </c>
      <c r="C17" s="87" t="s">
        <v>190</v>
      </c>
      <c r="D17" s="85" t="s">
        <v>182</v>
      </c>
      <c r="E17" s="55" t="s">
        <v>192</v>
      </c>
    </row>
    <row r="18" spans="2:5" ht="76.5">
      <c r="B18" s="81" t="s">
        <v>464</v>
      </c>
      <c r="C18" s="87" t="s">
        <v>191</v>
      </c>
      <c r="D18" s="85" t="s">
        <v>182</v>
      </c>
      <c r="E18" s="55" t="s">
        <v>193</v>
      </c>
    </row>
    <row r="19" spans="2:5" ht="63.75">
      <c r="B19" s="81" t="s">
        <v>209</v>
      </c>
      <c r="C19" s="86" t="s">
        <v>170</v>
      </c>
      <c r="D19" s="85" t="s">
        <v>354</v>
      </c>
      <c r="E19" s="55" t="s">
        <v>355</v>
      </c>
    </row>
    <row r="20" spans="2:5" ht="25.5">
      <c r="B20" s="81" t="s">
        <v>198</v>
      </c>
      <c r="C20" s="86" t="s">
        <v>195</v>
      </c>
      <c r="D20" s="85" t="s">
        <v>194</v>
      </c>
      <c r="E20" s="55" t="s">
        <v>197</v>
      </c>
    </row>
    <row r="21" spans="2:5" ht="25.5">
      <c r="B21" s="81" t="s">
        <v>466</v>
      </c>
      <c r="C21" s="86" t="s">
        <v>196</v>
      </c>
      <c r="D21" s="85" t="s">
        <v>194</v>
      </c>
      <c r="E21" s="55" t="s">
        <v>197</v>
      </c>
    </row>
    <row r="22" spans="2:5" ht="81.75" customHeight="1">
      <c r="B22" s="81" t="s">
        <v>467</v>
      </c>
      <c r="C22" s="86" t="s">
        <v>170</v>
      </c>
      <c r="D22" s="85" t="s">
        <v>223</v>
      </c>
      <c r="E22" s="87" t="s">
        <v>201</v>
      </c>
    </row>
    <row r="23" spans="2:5" ht="63.75">
      <c r="B23" s="81" t="s">
        <v>470</v>
      </c>
      <c r="C23" s="87" t="s">
        <v>170</v>
      </c>
      <c r="D23" s="85" t="s">
        <v>469</v>
      </c>
      <c r="E23" s="87" t="s">
        <v>199</v>
      </c>
    </row>
    <row r="24" spans="2:5" ht="51">
      <c r="B24" s="81" t="s">
        <v>476</v>
      </c>
      <c r="C24" s="87" t="s">
        <v>202</v>
      </c>
      <c r="D24" s="85" t="s">
        <v>223</v>
      </c>
      <c r="E24" s="55" t="s">
        <v>285</v>
      </c>
    </row>
    <row r="25" spans="2:5" ht="38.25">
      <c r="B25" s="81" t="s">
        <v>419</v>
      </c>
      <c r="C25" s="87" t="s">
        <v>204</v>
      </c>
      <c r="D25" s="85" t="s">
        <v>176</v>
      </c>
      <c r="E25" s="55" t="s">
        <v>283</v>
      </c>
    </row>
    <row r="26" spans="2:5" ht="45.75" customHeight="1">
      <c r="B26" s="81" t="s">
        <v>477</v>
      </c>
      <c r="C26" s="87" t="s">
        <v>203</v>
      </c>
      <c r="D26" s="85" t="s">
        <v>223</v>
      </c>
      <c r="E26" s="55" t="s">
        <v>284</v>
      </c>
    </row>
    <row r="27" spans="2:5" ht="38.25">
      <c r="B27" s="81" t="s">
        <v>478</v>
      </c>
      <c r="C27" s="87" t="s">
        <v>205</v>
      </c>
      <c r="D27" s="85" t="s">
        <v>182</v>
      </c>
      <c r="E27" s="55" t="s">
        <v>286</v>
      </c>
    </row>
    <row r="28" spans="2:5" ht="51">
      <c r="B28" s="81" t="s">
        <v>471</v>
      </c>
      <c r="C28" s="87" t="s">
        <v>206</v>
      </c>
      <c r="D28" s="85" t="s">
        <v>176</v>
      </c>
      <c r="E28" s="55" t="s">
        <v>207</v>
      </c>
    </row>
    <row r="29" spans="2:5" ht="51">
      <c r="B29" s="185" t="s">
        <v>472</v>
      </c>
      <c r="C29" s="87" t="s">
        <v>206</v>
      </c>
      <c r="D29" s="85" t="s">
        <v>176</v>
      </c>
      <c r="E29" s="55" t="s">
        <v>208</v>
      </c>
    </row>
    <row r="30" spans="2:5" ht="89.25">
      <c r="B30" s="81" t="s">
        <v>480</v>
      </c>
      <c r="C30" s="88" t="s">
        <v>212</v>
      </c>
      <c r="D30" s="85" t="s">
        <v>182</v>
      </c>
      <c r="E30" s="55" t="s">
        <v>213</v>
      </c>
    </row>
    <row r="31" spans="2:5" ht="38.25">
      <c r="B31" s="185" t="s">
        <v>481</v>
      </c>
      <c r="C31" s="87" t="s">
        <v>214</v>
      </c>
      <c r="D31" s="85" t="s">
        <v>194</v>
      </c>
      <c r="E31" s="55" t="s">
        <v>215</v>
      </c>
    </row>
    <row r="32" spans="2:5" ht="51">
      <c r="B32" s="185" t="s">
        <v>482</v>
      </c>
      <c r="C32" s="87" t="s">
        <v>216</v>
      </c>
      <c r="D32" s="85" t="s">
        <v>182</v>
      </c>
      <c r="E32" s="55" t="s">
        <v>217</v>
      </c>
    </row>
    <row r="33" spans="2:5" ht="38.25">
      <c r="B33" s="185" t="s">
        <v>483</v>
      </c>
      <c r="C33" s="87" t="s">
        <v>218</v>
      </c>
      <c r="D33" s="85" t="s">
        <v>182</v>
      </c>
      <c r="E33" s="55" t="s">
        <v>219</v>
      </c>
    </row>
    <row r="34" spans="2:5" ht="63.75">
      <c r="B34" s="81" t="s">
        <v>484</v>
      </c>
      <c r="C34" s="87" t="s">
        <v>170</v>
      </c>
      <c r="D34" s="85" t="s">
        <v>194</v>
      </c>
      <c r="E34" s="55" t="s">
        <v>220</v>
      </c>
    </row>
    <row r="35" spans="2:5" ht="38.25">
      <c r="B35" s="185" t="s">
        <v>485</v>
      </c>
      <c r="C35" s="87" t="s">
        <v>171</v>
      </c>
      <c r="D35" s="85" t="s">
        <v>182</v>
      </c>
      <c r="E35" s="55" t="s">
        <v>224</v>
      </c>
    </row>
    <row r="36" spans="2:5" ht="25.5">
      <c r="B36" s="85" t="s">
        <v>473</v>
      </c>
      <c r="C36" s="86" t="s">
        <v>474</v>
      </c>
      <c r="D36" s="89"/>
      <c r="E36" s="55" t="s">
        <v>475</v>
      </c>
    </row>
    <row r="37" spans="2:5" ht="38.25">
      <c r="B37" s="85" t="s">
        <v>458</v>
      </c>
      <c r="C37" s="86" t="s">
        <v>200</v>
      </c>
      <c r="D37" s="89"/>
      <c r="E37" s="55" t="s">
        <v>475</v>
      </c>
    </row>
  </sheetData>
  <sheetProtection/>
  <autoFilter ref="B3:E35"/>
  <printOptions/>
  <pageMargins left="0.19" right="0.17" top="0.21" bottom="0.16" header="0.16" footer="0.16"/>
  <pageSetup fitToHeight="3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3:E64"/>
  <sheetViews>
    <sheetView zoomScalePageLayoutView="0" workbookViewId="0" topLeftCell="A1">
      <selection activeCell="B1" sqref="B1:C16384"/>
    </sheetView>
  </sheetViews>
  <sheetFormatPr defaultColWidth="9.140625" defaultRowHeight="15"/>
  <cols>
    <col min="2" max="2" width="16.140625" style="0" customWidth="1"/>
    <col min="3" max="3" width="109.421875" style="0" customWidth="1"/>
    <col min="4" max="4" width="10.00390625" style="0" customWidth="1"/>
    <col min="5" max="5" width="10.7109375" style="0" customWidth="1"/>
  </cols>
  <sheetData>
    <row r="3" spans="2:3" ht="15">
      <c r="B3" s="58" t="s">
        <v>163</v>
      </c>
      <c r="C3" s="58" t="s">
        <v>237</v>
      </c>
    </row>
    <row r="4" spans="2:3" ht="15">
      <c r="B4" s="51">
        <v>0</v>
      </c>
      <c r="C4" s="61" t="s">
        <v>227</v>
      </c>
    </row>
    <row r="5" spans="2:3" ht="15">
      <c r="B5" s="51">
        <v>80000</v>
      </c>
      <c r="C5" s="60" t="s">
        <v>226</v>
      </c>
    </row>
    <row r="6" spans="2:5" ht="15">
      <c r="B6" s="58">
        <v>90100</v>
      </c>
      <c r="C6" s="59" t="s">
        <v>225</v>
      </c>
      <c r="D6" s="57"/>
      <c r="E6" s="57"/>
    </row>
    <row r="7" spans="2:3" ht="15">
      <c r="B7" s="184">
        <v>901010000</v>
      </c>
      <c r="C7" s="60" t="s">
        <v>228</v>
      </c>
    </row>
    <row r="8" spans="2:3" ht="15">
      <c r="B8" s="184">
        <v>901020000</v>
      </c>
      <c r="C8" s="60" t="s">
        <v>229</v>
      </c>
    </row>
    <row r="9" spans="2:3" ht="15">
      <c r="B9" s="184">
        <v>901030000</v>
      </c>
      <c r="C9" s="60" t="s">
        <v>230</v>
      </c>
    </row>
    <row r="10" spans="2:3" ht="15">
      <c r="B10" s="184">
        <v>901040000</v>
      </c>
      <c r="C10" s="60" t="s">
        <v>231</v>
      </c>
    </row>
    <row r="11" spans="2:3" ht="15">
      <c r="B11" s="184">
        <v>901050000</v>
      </c>
      <c r="C11" s="60" t="s">
        <v>232</v>
      </c>
    </row>
    <row r="12" spans="2:3" ht="30">
      <c r="B12" s="51">
        <v>901060000</v>
      </c>
      <c r="C12" s="60" t="s">
        <v>421</v>
      </c>
    </row>
    <row r="13" spans="2:3" ht="30">
      <c r="B13" s="51">
        <v>901070000</v>
      </c>
      <c r="C13" s="60" t="s">
        <v>233</v>
      </c>
    </row>
    <row r="14" spans="2:3" ht="15">
      <c r="B14" s="51">
        <v>901100000</v>
      </c>
      <c r="C14" s="60" t="s">
        <v>422</v>
      </c>
    </row>
    <row r="15" spans="2:3" ht="15">
      <c r="B15" s="184">
        <v>901140000</v>
      </c>
      <c r="C15" s="60" t="s">
        <v>234</v>
      </c>
    </row>
    <row r="16" spans="2:3" ht="15">
      <c r="B16" s="184">
        <v>901150000</v>
      </c>
      <c r="C16" s="60" t="s">
        <v>235</v>
      </c>
    </row>
    <row r="17" spans="2:3" ht="15">
      <c r="B17" s="184">
        <v>901160000</v>
      </c>
      <c r="C17" s="60" t="s">
        <v>236</v>
      </c>
    </row>
    <row r="18" spans="2:3" ht="30">
      <c r="B18" s="184">
        <v>901170000</v>
      </c>
      <c r="C18" s="60" t="s">
        <v>238</v>
      </c>
    </row>
    <row r="19" spans="2:3" ht="45">
      <c r="B19" s="51">
        <v>901180000</v>
      </c>
      <c r="C19" s="60" t="s">
        <v>239</v>
      </c>
    </row>
    <row r="20" spans="2:3" ht="15">
      <c r="B20" s="51">
        <v>901190000</v>
      </c>
      <c r="C20" s="60" t="s">
        <v>240</v>
      </c>
    </row>
    <row r="21" spans="2:3" ht="15">
      <c r="B21" s="51">
        <v>901200000</v>
      </c>
      <c r="C21" s="60" t="s">
        <v>423</v>
      </c>
    </row>
    <row r="22" spans="2:3" ht="15">
      <c r="B22" s="51">
        <v>901210000</v>
      </c>
      <c r="C22" s="60" t="s">
        <v>241</v>
      </c>
    </row>
    <row r="23" spans="2:3" ht="30">
      <c r="B23" s="51">
        <v>901220000</v>
      </c>
      <c r="C23" s="60" t="s">
        <v>242</v>
      </c>
    </row>
    <row r="24" spans="2:3" ht="30">
      <c r="B24" s="51">
        <v>901230000</v>
      </c>
      <c r="C24" s="60" t="s">
        <v>243</v>
      </c>
    </row>
    <row r="25" spans="2:3" ht="15">
      <c r="B25" s="51">
        <v>901240000</v>
      </c>
      <c r="C25" s="60" t="s">
        <v>244</v>
      </c>
    </row>
    <row r="26" spans="2:3" ht="15">
      <c r="B26" s="51">
        <v>901250000</v>
      </c>
      <c r="C26" s="60" t="s">
        <v>245</v>
      </c>
    </row>
    <row r="27" spans="2:3" ht="15">
      <c r="B27" s="51">
        <v>901260000</v>
      </c>
      <c r="C27" s="60" t="s">
        <v>246</v>
      </c>
    </row>
    <row r="28" spans="2:3" ht="15">
      <c r="B28" s="51">
        <v>901270000</v>
      </c>
      <c r="C28" s="60" t="s">
        <v>247</v>
      </c>
    </row>
    <row r="29" spans="2:3" ht="15">
      <c r="B29" s="51">
        <v>901300000</v>
      </c>
      <c r="C29" s="60" t="s">
        <v>248</v>
      </c>
    </row>
    <row r="30" spans="2:3" ht="15">
      <c r="B30" s="51">
        <v>901310000</v>
      </c>
      <c r="C30" s="60" t="s">
        <v>249</v>
      </c>
    </row>
    <row r="31" spans="2:3" ht="30">
      <c r="B31" s="51">
        <v>9013200000</v>
      </c>
      <c r="C31" s="60" t="s">
        <v>250</v>
      </c>
    </row>
    <row r="32" spans="2:3" ht="15">
      <c r="B32" s="51">
        <v>9013300000</v>
      </c>
      <c r="C32" s="60" t="s">
        <v>424</v>
      </c>
    </row>
    <row r="33" spans="2:3" ht="14.25" customHeight="1">
      <c r="B33" s="51">
        <v>9013600000</v>
      </c>
      <c r="C33" s="60" t="s">
        <v>251</v>
      </c>
    </row>
    <row r="34" spans="2:3" ht="15">
      <c r="B34" s="51">
        <v>9013700000</v>
      </c>
      <c r="C34" s="60" t="s">
        <v>252</v>
      </c>
    </row>
    <row r="35" spans="2:3" ht="15">
      <c r="B35" s="51">
        <v>9013900000</v>
      </c>
      <c r="C35" s="60" t="s">
        <v>253</v>
      </c>
    </row>
    <row r="36" spans="2:3" ht="30">
      <c r="B36" s="51">
        <v>9014200000</v>
      </c>
      <c r="C36" s="60" t="s">
        <v>254</v>
      </c>
    </row>
    <row r="37" spans="2:3" ht="30">
      <c r="B37" s="51">
        <v>9014400000</v>
      </c>
      <c r="C37" s="60" t="s">
        <v>255</v>
      </c>
    </row>
    <row r="38" spans="2:3" ht="15">
      <c r="B38" s="51">
        <v>9014700000</v>
      </c>
      <c r="C38" s="60" t="s">
        <v>256</v>
      </c>
    </row>
    <row r="39" spans="2:3" ht="15">
      <c r="B39" s="51">
        <v>9014800000</v>
      </c>
      <c r="C39" s="60" t="s">
        <v>257</v>
      </c>
    </row>
    <row r="40" spans="2:3" ht="15">
      <c r="B40" s="51">
        <v>9014900000</v>
      </c>
      <c r="C40" s="60" t="s">
        <v>258</v>
      </c>
    </row>
    <row r="41" spans="2:3" ht="15">
      <c r="B41" s="51">
        <v>9015200000</v>
      </c>
      <c r="C41" s="60" t="s">
        <v>259</v>
      </c>
    </row>
    <row r="42" spans="2:3" ht="30">
      <c r="B42" s="51">
        <v>9015400000</v>
      </c>
      <c r="C42" s="60" t="s">
        <v>260</v>
      </c>
    </row>
    <row r="43" spans="2:3" ht="15">
      <c r="B43" s="51">
        <v>9015600000</v>
      </c>
      <c r="C43" s="60" t="s">
        <v>261</v>
      </c>
    </row>
    <row r="44" spans="2:3" ht="15">
      <c r="B44" s="51">
        <v>9016900000</v>
      </c>
      <c r="C44" s="60" t="s">
        <v>262</v>
      </c>
    </row>
    <row r="45" spans="2:3" ht="30">
      <c r="B45" s="51">
        <v>9017100000</v>
      </c>
      <c r="C45" s="60" t="s">
        <v>263</v>
      </c>
    </row>
    <row r="46" spans="2:3" ht="30">
      <c r="B46" s="51">
        <v>901720000</v>
      </c>
      <c r="C46" s="60" t="s">
        <v>264</v>
      </c>
    </row>
    <row r="47" spans="2:3" ht="15">
      <c r="B47" s="51">
        <v>901730000</v>
      </c>
      <c r="C47" s="60" t="s">
        <v>265</v>
      </c>
    </row>
    <row r="48" spans="2:3" ht="15">
      <c r="B48" s="51">
        <v>901750000</v>
      </c>
      <c r="C48" s="60" t="s">
        <v>266</v>
      </c>
    </row>
    <row r="49" spans="2:3" ht="30">
      <c r="B49" s="51">
        <v>901760000</v>
      </c>
      <c r="C49" s="60" t="s">
        <v>267</v>
      </c>
    </row>
    <row r="50" spans="2:3" ht="45">
      <c r="B50" s="51">
        <v>901770000</v>
      </c>
      <c r="C50" s="60" t="s">
        <v>268</v>
      </c>
    </row>
    <row r="51" spans="2:3" ht="15">
      <c r="B51" s="51">
        <v>901790000</v>
      </c>
      <c r="C51" s="60" t="s">
        <v>269</v>
      </c>
    </row>
    <row r="52" spans="2:3" ht="15">
      <c r="B52" s="51">
        <v>901800000</v>
      </c>
      <c r="C52" s="60" t="s">
        <v>270</v>
      </c>
    </row>
    <row r="53" spans="2:3" ht="30">
      <c r="B53" s="51">
        <v>901810000</v>
      </c>
      <c r="C53" s="60" t="s">
        <v>271</v>
      </c>
    </row>
    <row r="54" spans="2:3" ht="15">
      <c r="B54" s="51">
        <v>901820000</v>
      </c>
      <c r="C54" s="60" t="s">
        <v>272</v>
      </c>
    </row>
    <row r="55" spans="2:3" ht="15">
      <c r="B55" s="51">
        <v>901830000</v>
      </c>
      <c r="C55" s="60" t="s">
        <v>273</v>
      </c>
    </row>
    <row r="56" spans="2:3" ht="30">
      <c r="B56" s="51">
        <v>901870000</v>
      </c>
      <c r="C56" s="60" t="s">
        <v>274</v>
      </c>
    </row>
    <row r="57" spans="2:3" ht="15">
      <c r="B57" s="51">
        <v>901880000</v>
      </c>
      <c r="C57" s="60" t="s">
        <v>275</v>
      </c>
    </row>
    <row r="58" spans="2:3" ht="15">
      <c r="B58" s="51">
        <v>901890000</v>
      </c>
      <c r="C58" s="60" t="s">
        <v>276</v>
      </c>
    </row>
    <row r="59" spans="2:3" ht="15">
      <c r="B59" s="51">
        <v>901900000</v>
      </c>
      <c r="C59" s="60" t="s">
        <v>277</v>
      </c>
    </row>
    <row r="60" spans="2:3" ht="30">
      <c r="B60" s="51">
        <v>901910000</v>
      </c>
      <c r="C60" s="60" t="s">
        <v>278</v>
      </c>
    </row>
    <row r="61" spans="2:3" ht="15">
      <c r="B61" s="51">
        <v>901930000</v>
      </c>
      <c r="C61" s="60" t="s">
        <v>279</v>
      </c>
    </row>
    <row r="62" spans="2:3" ht="30">
      <c r="B62" s="51">
        <v>901960000</v>
      </c>
      <c r="C62" s="60" t="s">
        <v>280</v>
      </c>
    </row>
    <row r="63" spans="2:3" ht="23.25" customHeight="1">
      <c r="B63" s="51">
        <v>901980000</v>
      </c>
      <c r="C63" s="60" t="s">
        <v>281</v>
      </c>
    </row>
    <row r="64" spans="2:3" ht="45">
      <c r="B64" s="51">
        <v>901990000</v>
      </c>
      <c r="C64" s="60" t="s">
        <v>282</v>
      </c>
    </row>
  </sheetData>
  <sheetProtection/>
  <printOptions/>
  <pageMargins left="0.7086614173228347" right="0.7086614173228347" top="0.24" bottom="0.33" header="0.31496062992125984" footer="0.31496062992125984"/>
  <pageSetup fitToHeight="1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8"/>
  <sheetViews>
    <sheetView view="pageBreakPreview" zoomScale="87" zoomScaleSheetLayoutView="87" zoomScalePageLayoutView="0" workbookViewId="0" topLeftCell="A13">
      <selection activeCell="K29" sqref="K29:K34"/>
    </sheetView>
  </sheetViews>
  <sheetFormatPr defaultColWidth="9.140625" defaultRowHeight="15"/>
  <cols>
    <col min="1" max="1" width="17.140625" style="0" customWidth="1"/>
    <col min="4" max="4" width="17.7109375" style="0" customWidth="1"/>
    <col min="5" max="5" width="15.421875" style="0" customWidth="1"/>
    <col min="6" max="6" width="14.57421875" style="0" customWidth="1"/>
    <col min="7" max="7" width="11.7109375" style="0" customWidth="1"/>
    <col min="8" max="8" width="11.8515625" style="0" customWidth="1"/>
    <col min="9" max="9" width="12.421875" style="0" customWidth="1"/>
    <col min="10" max="10" width="16.421875" style="0" customWidth="1"/>
    <col min="11" max="11" width="17.140625" style="0" customWidth="1"/>
    <col min="12" max="12" width="23.8515625" style="0" customWidth="1"/>
  </cols>
  <sheetData>
    <row r="1" ht="15.75">
      <c r="L1" s="29" t="s">
        <v>61</v>
      </c>
    </row>
    <row r="2" ht="15.75">
      <c r="F2" s="30" t="s">
        <v>62</v>
      </c>
    </row>
    <row r="3" ht="18.75">
      <c r="F3" s="30" t="s">
        <v>63</v>
      </c>
    </row>
    <row r="4" spans="1:7" ht="15.75">
      <c r="A4" s="29"/>
      <c r="E4" s="46"/>
      <c r="F4" s="47" t="s">
        <v>765</v>
      </c>
      <c r="G4" s="46"/>
    </row>
    <row r="5" ht="15.75">
      <c r="A5" s="30"/>
    </row>
    <row r="6" ht="15.75">
      <c r="A6" s="30"/>
    </row>
    <row r="7" spans="1:12" ht="15.75" customHeight="1">
      <c r="A7" s="638" t="s">
        <v>64</v>
      </c>
      <c r="B7" s="638" t="s">
        <v>45</v>
      </c>
      <c r="C7" s="638" t="s">
        <v>65</v>
      </c>
      <c r="D7" s="638" t="s">
        <v>66</v>
      </c>
      <c r="E7" s="638"/>
      <c r="F7" s="638"/>
      <c r="G7" s="638"/>
      <c r="H7" s="638"/>
      <c r="I7" s="638"/>
      <c r="J7" s="638"/>
      <c r="K7" s="638"/>
      <c r="L7" s="638"/>
    </row>
    <row r="8" spans="1:12" ht="15.75">
      <c r="A8" s="638"/>
      <c r="B8" s="638"/>
      <c r="C8" s="638"/>
      <c r="D8" s="638" t="s">
        <v>67</v>
      </c>
      <c r="E8" s="638"/>
      <c r="F8" s="638"/>
      <c r="G8" s="638"/>
      <c r="H8" s="638"/>
      <c r="I8" s="638"/>
      <c r="J8" s="638"/>
      <c r="K8" s="638"/>
      <c r="L8" s="638"/>
    </row>
    <row r="9" spans="1:12" ht="15.75">
      <c r="A9" s="638"/>
      <c r="B9" s="638"/>
      <c r="C9" s="638"/>
      <c r="D9" s="638" t="s">
        <v>68</v>
      </c>
      <c r="E9" s="638"/>
      <c r="F9" s="638"/>
      <c r="G9" s="638" t="s">
        <v>4</v>
      </c>
      <c r="H9" s="638"/>
      <c r="I9" s="638"/>
      <c r="J9" s="638"/>
      <c r="K9" s="638"/>
      <c r="L9" s="638"/>
    </row>
    <row r="10" spans="1:12" ht="47.25" customHeight="1">
      <c r="A10" s="638"/>
      <c r="B10" s="638"/>
      <c r="C10" s="638"/>
      <c r="D10" s="638"/>
      <c r="E10" s="638"/>
      <c r="F10" s="638"/>
      <c r="G10" s="638" t="s">
        <v>69</v>
      </c>
      <c r="H10" s="638"/>
      <c r="I10" s="638"/>
      <c r="J10" s="638" t="s">
        <v>70</v>
      </c>
      <c r="K10" s="638"/>
      <c r="L10" s="638"/>
    </row>
    <row r="11" spans="1:12" ht="50.25" customHeight="1">
      <c r="A11" s="638"/>
      <c r="B11" s="638"/>
      <c r="C11" s="638"/>
      <c r="D11" s="638"/>
      <c r="E11" s="638"/>
      <c r="F11" s="638"/>
      <c r="G11" s="641" t="s">
        <v>288</v>
      </c>
      <c r="H11" s="642"/>
      <c r="I11" s="643"/>
      <c r="J11" s="641" t="s">
        <v>71</v>
      </c>
      <c r="K11" s="642"/>
      <c r="L11" s="643"/>
    </row>
    <row r="12" spans="1:12" ht="78.75" customHeight="1">
      <c r="A12" s="638"/>
      <c r="B12" s="638"/>
      <c r="C12" s="638"/>
      <c r="D12" s="638"/>
      <c r="E12" s="638"/>
      <c r="F12" s="638"/>
      <c r="G12" s="644"/>
      <c r="H12" s="645"/>
      <c r="I12" s="646"/>
      <c r="J12" s="644"/>
      <c r="K12" s="645"/>
      <c r="L12" s="646"/>
    </row>
    <row r="13" spans="1:12" ht="15.75" customHeight="1">
      <c r="A13" s="638"/>
      <c r="B13" s="638"/>
      <c r="C13" s="638"/>
      <c r="D13" s="638" t="s">
        <v>426</v>
      </c>
      <c r="E13" s="638" t="s">
        <v>287</v>
      </c>
      <c r="F13" s="638" t="s">
        <v>427</v>
      </c>
      <c r="G13" s="638" t="s">
        <v>428</v>
      </c>
      <c r="H13" s="638" t="s">
        <v>287</v>
      </c>
      <c r="I13" s="48" t="s">
        <v>429</v>
      </c>
      <c r="J13" s="638" t="s">
        <v>426</v>
      </c>
      <c r="K13" s="638" t="s">
        <v>287</v>
      </c>
      <c r="L13" s="638" t="s">
        <v>427</v>
      </c>
    </row>
    <row r="14" spans="1:12" ht="47.25">
      <c r="A14" s="638"/>
      <c r="B14" s="638"/>
      <c r="C14" s="638"/>
      <c r="D14" s="638"/>
      <c r="E14" s="638"/>
      <c r="F14" s="638"/>
      <c r="G14" s="638"/>
      <c r="H14" s="638"/>
      <c r="I14" s="48" t="s">
        <v>72</v>
      </c>
      <c r="J14" s="638"/>
      <c r="K14" s="638"/>
      <c r="L14" s="638"/>
    </row>
    <row r="15" spans="1:12" ht="15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6">
        <v>7</v>
      </c>
      <c r="H15" s="26">
        <v>8</v>
      </c>
      <c r="I15" s="26">
        <v>9</v>
      </c>
      <c r="J15" s="26">
        <v>10</v>
      </c>
      <c r="K15" s="26">
        <v>11</v>
      </c>
      <c r="L15" s="26">
        <v>12</v>
      </c>
    </row>
    <row r="16" spans="1:12" ht="66.75" customHeight="1">
      <c r="A16" s="31" t="s">
        <v>73</v>
      </c>
      <c r="B16" s="640" t="s">
        <v>76</v>
      </c>
      <c r="C16" s="636" t="s">
        <v>74</v>
      </c>
      <c r="D16" s="637">
        <f aca="true" t="shared" si="0" ref="D16:L16">D29</f>
        <v>20963322.95</v>
      </c>
      <c r="E16" s="634">
        <f>K16</f>
        <v>17839467.479999997</v>
      </c>
      <c r="F16" s="634">
        <f>L16</f>
        <v>17859467.48</v>
      </c>
      <c r="G16" s="634">
        <f t="shared" si="0"/>
        <v>0</v>
      </c>
      <c r="H16" s="634">
        <f t="shared" si="0"/>
        <v>0</v>
      </c>
      <c r="I16" s="634">
        <f t="shared" si="0"/>
        <v>0</v>
      </c>
      <c r="J16" s="634">
        <f t="shared" si="0"/>
        <v>20963322.95</v>
      </c>
      <c r="K16" s="634">
        <f t="shared" si="0"/>
        <v>17839467.479999997</v>
      </c>
      <c r="L16" s="634">
        <f t="shared" si="0"/>
        <v>17859467.48</v>
      </c>
    </row>
    <row r="17" spans="1:12" ht="15.75">
      <c r="A17" s="33" t="s">
        <v>5</v>
      </c>
      <c r="B17" s="640"/>
      <c r="C17" s="636"/>
      <c r="D17" s="637"/>
      <c r="E17" s="634"/>
      <c r="F17" s="634"/>
      <c r="G17" s="634"/>
      <c r="H17" s="634"/>
      <c r="I17" s="634"/>
      <c r="J17" s="634"/>
      <c r="K17" s="634"/>
      <c r="L17" s="634"/>
    </row>
    <row r="18" spans="1:12" ht="15">
      <c r="A18" s="32"/>
      <c r="B18" s="640"/>
      <c r="C18" s="636"/>
      <c r="D18" s="637"/>
      <c r="E18" s="634"/>
      <c r="F18" s="634"/>
      <c r="G18" s="634"/>
      <c r="H18" s="634"/>
      <c r="I18" s="634"/>
      <c r="J18" s="634"/>
      <c r="K18" s="634"/>
      <c r="L18" s="634"/>
    </row>
    <row r="19" spans="1:12" ht="84.75" customHeight="1">
      <c r="A19" s="639" t="s">
        <v>75</v>
      </c>
      <c r="B19" s="636">
        <v>1001</v>
      </c>
      <c r="C19" s="636" t="s">
        <v>74</v>
      </c>
      <c r="D19" s="634">
        <v>0</v>
      </c>
      <c r="E19" s="634">
        <v>0</v>
      </c>
      <c r="F19" s="634">
        <v>0</v>
      </c>
      <c r="G19" s="634">
        <v>0</v>
      </c>
      <c r="H19" s="634">
        <v>0</v>
      </c>
      <c r="I19" s="634">
        <v>0</v>
      </c>
      <c r="J19" s="634">
        <v>0</v>
      </c>
      <c r="K19" s="634">
        <v>0</v>
      </c>
      <c r="L19" s="634">
        <v>0</v>
      </c>
    </row>
    <row r="20" spans="1:12" ht="15" customHeight="1">
      <c r="A20" s="635"/>
      <c r="B20" s="636"/>
      <c r="C20" s="636"/>
      <c r="D20" s="634"/>
      <c r="E20" s="634"/>
      <c r="F20" s="634"/>
      <c r="G20" s="634"/>
      <c r="H20" s="634"/>
      <c r="I20" s="634"/>
      <c r="J20" s="634"/>
      <c r="K20" s="634"/>
      <c r="L20" s="634"/>
    </row>
    <row r="21" spans="1:12" ht="15" customHeight="1">
      <c r="A21" s="635"/>
      <c r="B21" s="636"/>
      <c r="C21" s="636"/>
      <c r="D21" s="634"/>
      <c r="E21" s="634"/>
      <c r="F21" s="634"/>
      <c r="G21" s="634"/>
      <c r="H21" s="634"/>
      <c r="I21" s="634"/>
      <c r="J21" s="634"/>
      <c r="K21" s="634"/>
      <c r="L21" s="634"/>
    </row>
    <row r="22" spans="1:12" ht="15" customHeight="1">
      <c r="A22" s="635"/>
      <c r="B22" s="636"/>
      <c r="C22" s="636"/>
      <c r="D22" s="634"/>
      <c r="E22" s="634"/>
      <c r="F22" s="634"/>
      <c r="G22" s="634"/>
      <c r="H22" s="634"/>
      <c r="I22" s="634"/>
      <c r="J22" s="634"/>
      <c r="K22" s="634"/>
      <c r="L22" s="634"/>
    </row>
    <row r="23" spans="1:12" ht="9.75" customHeight="1">
      <c r="A23" s="635"/>
      <c r="B23" s="636"/>
      <c r="C23" s="636"/>
      <c r="D23" s="634"/>
      <c r="E23" s="634"/>
      <c r="F23" s="634"/>
      <c r="G23" s="634"/>
      <c r="H23" s="634"/>
      <c r="I23" s="634"/>
      <c r="J23" s="634"/>
      <c r="K23" s="634"/>
      <c r="L23" s="634"/>
    </row>
    <row r="24" spans="1:12" ht="15" customHeight="1" hidden="1">
      <c r="A24" s="635"/>
      <c r="B24" s="636"/>
      <c r="C24" s="636"/>
      <c r="D24" s="634"/>
      <c r="E24" s="634"/>
      <c r="F24" s="634"/>
      <c r="G24" s="634"/>
      <c r="H24" s="634"/>
      <c r="I24" s="634"/>
      <c r="J24" s="634"/>
      <c r="K24" s="634"/>
      <c r="L24" s="634"/>
    </row>
    <row r="25" spans="1:12" ht="15" customHeight="1" hidden="1">
      <c r="A25" s="635"/>
      <c r="B25" s="636"/>
      <c r="C25" s="636"/>
      <c r="D25" s="634"/>
      <c r="E25" s="634"/>
      <c r="F25" s="634"/>
      <c r="G25" s="634"/>
      <c r="H25" s="634"/>
      <c r="I25" s="634"/>
      <c r="J25" s="634"/>
      <c r="K25" s="634"/>
      <c r="L25" s="634"/>
    </row>
    <row r="26" spans="1:12" ht="15" customHeight="1" hidden="1">
      <c r="A26" s="635"/>
      <c r="B26" s="636"/>
      <c r="C26" s="636"/>
      <c r="D26" s="634"/>
      <c r="E26" s="634"/>
      <c r="F26" s="634"/>
      <c r="G26" s="634"/>
      <c r="H26" s="634"/>
      <c r="I26" s="634"/>
      <c r="J26" s="634"/>
      <c r="K26" s="634"/>
      <c r="L26" s="634"/>
    </row>
    <row r="27" spans="1:12" ht="15" customHeight="1" hidden="1">
      <c r="A27" s="635"/>
      <c r="B27" s="636"/>
      <c r="C27" s="636"/>
      <c r="D27" s="634"/>
      <c r="E27" s="634"/>
      <c r="F27" s="634"/>
      <c r="G27" s="634"/>
      <c r="H27" s="634"/>
      <c r="I27" s="634"/>
      <c r="J27" s="634"/>
      <c r="K27" s="634"/>
      <c r="L27" s="634"/>
    </row>
    <row r="28" spans="1:12" ht="15" customHeight="1" hidden="1">
      <c r="A28" s="635"/>
      <c r="B28" s="636"/>
      <c r="C28" s="636"/>
      <c r="D28" s="634"/>
      <c r="E28" s="634"/>
      <c r="F28" s="634"/>
      <c r="G28" s="634"/>
      <c r="H28" s="634"/>
      <c r="I28" s="634"/>
      <c r="J28" s="634"/>
      <c r="K28" s="634"/>
      <c r="L28" s="634"/>
    </row>
    <row r="29" spans="1:12" ht="50.25" customHeight="1">
      <c r="A29" s="635" t="s">
        <v>401</v>
      </c>
      <c r="B29" s="636">
        <v>2001</v>
      </c>
      <c r="C29" s="635"/>
      <c r="D29" s="633">
        <f>J29</f>
        <v>20963322.95</v>
      </c>
      <c r="E29" s="633">
        <f>K29</f>
        <v>17839467.479999997</v>
      </c>
      <c r="F29" s="633">
        <f>L29</f>
        <v>17859467.48</v>
      </c>
      <c r="G29" s="633">
        <v>0</v>
      </c>
      <c r="H29" s="633">
        <v>0</v>
      </c>
      <c r="I29" s="633">
        <v>0</v>
      </c>
      <c r="J29" s="633">
        <f>'раздел 3 (табл.2,3,4)'!H176</f>
        <v>20963322.95</v>
      </c>
      <c r="K29" s="633">
        <f>'раздел 3 (табл.2,3,4)'!H416</f>
        <v>17839467.479999997</v>
      </c>
      <c r="L29" s="633">
        <f>'раздел 3 (табл.2,3,4)'!H627</f>
        <v>17859467.48</v>
      </c>
    </row>
    <row r="30" spans="1:12" ht="15" customHeight="1">
      <c r="A30" s="635"/>
      <c r="B30" s="636"/>
      <c r="C30" s="635"/>
      <c r="D30" s="633"/>
      <c r="E30" s="633"/>
      <c r="F30" s="633"/>
      <c r="G30" s="633"/>
      <c r="H30" s="633"/>
      <c r="I30" s="633"/>
      <c r="J30" s="633"/>
      <c r="K30" s="633"/>
      <c r="L30" s="633"/>
    </row>
    <row r="31" spans="1:12" ht="1.5" customHeight="1">
      <c r="A31" s="635"/>
      <c r="B31" s="636"/>
      <c r="C31" s="635"/>
      <c r="D31" s="633"/>
      <c r="E31" s="633"/>
      <c r="F31" s="633"/>
      <c r="G31" s="633"/>
      <c r="H31" s="633"/>
      <c r="I31" s="633"/>
      <c r="J31" s="633"/>
      <c r="K31" s="633"/>
      <c r="L31" s="633"/>
    </row>
    <row r="32" spans="1:12" ht="15" customHeight="1">
      <c r="A32" s="635"/>
      <c r="B32" s="636"/>
      <c r="C32" s="635"/>
      <c r="D32" s="633"/>
      <c r="E32" s="633"/>
      <c r="F32" s="633"/>
      <c r="G32" s="633"/>
      <c r="H32" s="633"/>
      <c r="I32" s="633"/>
      <c r="J32" s="633"/>
      <c r="K32" s="633"/>
      <c r="L32" s="633"/>
    </row>
    <row r="33" spans="1:12" ht="15" customHeight="1">
      <c r="A33" s="635"/>
      <c r="B33" s="636"/>
      <c r="C33" s="635"/>
      <c r="D33" s="633"/>
      <c r="E33" s="633"/>
      <c r="F33" s="633"/>
      <c r="G33" s="633"/>
      <c r="H33" s="633"/>
      <c r="I33" s="633"/>
      <c r="J33" s="633"/>
      <c r="K33" s="633"/>
      <c r="L33" s="633"/>
    </row>
    <row r="34" spans="1:12" ht="15" customHeight="1">
      <c r="A34" s="635"/>
      <c r="B34" s="636"/>
      <c r="C34" s="635"/>
      <c r="D34" s="633"/>
      <c r="E34" s="633"/>
      <c r="F34" s="633"/>
      <c r="G34" s="633"/>
      <c r="H34" s="633"/>
      <c r="I34" s="633"/>
      <c r="J34" s="633"/>
      <c r="K34" s="633"/>
      <c r="L34" s="633"/>
    </row>
    <row r="36" ht="18.75">
      <c r="A36" s="34" t="s">
        <v>78</v>
      </c>
    </row>
    <row r="37" spans="1:12" ht="82.5" customHeight="1">
      <c r="A37" s="632" t="s">
        <v>289</v>
      </c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</row>
    <row r="38" spans="1:12" ht="103.5" customHeight="1">
      <c r="A38" s="632" t="s">
        <v>290</v>
      </c>
      <c r="B38" s="632"/>
      <c r="C38" s="632"/>
      <c r="D38" s="632"/>
      <c r="E38" s="632"/>
      <c r="F38" s="632"/>
      <c r="G38" s="632"/>
      <c r="H38" s="632"/>
      <c r="I38" s="632"/>
      <c r="J38" s="632"/>
      <c r="K38" s="632"/>
      <c r="L38" s="632"/>
    </row>
    <row r="39" ht="15.75">
      <c r="A39" s="28" t="s">
        <v>79</v>
      </c>
    </row>
    <row r="40" ht="15.75">
      <c r="A40" s="28" t="s">
        <v>291</v>
      </c>
    </row>
    <row r="41" ht="15.75">
      <c r="A41" s="28" t="s">
        <v>80</v>
      </c>
    </row>
    <row r="42" ht="15.75">
      <c r="A42" s="28" t="s">
        <v>81</v>
      </c>
    </row>
    <row r="43" ht="15.75">
      <c r="A43" s="28" t="s">
        <v>82</v>
      </c>
    </row>
    <row r="44" ht="15.75">
      <c r="A44" s="28" t="s">
        <v>292</v>
      </c>
    </row>
    <row r="45" ht="15.75">
      <c r="A45" s="28" t="s">
        <v>293</v>
      </c>
    </row>
    <row r="46" ht="15.75">
      <c r="A46" s="28" t="s">
        <v>294</v>
      </c>
    </row>
    <row r="47" spans="1:12" ht="18" customHeight="1">
      <c r="A47" s="632" t="s">
        <v>295</v>
      </c>
      <c r="B47" s="632"/>
      <c r="C47" s="632"/>
      <c r="D47" s="632"/>
      <c r="E47" s="632"/>
      <c r="F47" s="632"/>
      <c r="G47" s="632"/>
      <c r="H47" s="632"/>
      <c r="I47" s="632"/>
      <c r="J47" s="632"/>
      <c r="K47" s="632"/>
      <c r="L47" s="632"/>
    </row>
    <row r="48" spans="1:12" s="62" customFormat="1" ht="31.5" customHeight="1">
      <c r="A48" s="632" t="s">
        <v>402</v>
      </c>
      <c r="B48" s="632"/>
      <c r="C48" s="632"/>
      <c r="D48" s="632"/>
      <c r="E48" s="632"/>
      <c r="F48" s="632"/>
      <c r="G48" s="632"/>
      <c r="H48" s="632"/>
      <c r="I48" s="632"/>
      <c r="J48" s="632"/>
      <c r="K48" s="632"/>
      <c r="L48" s="632"/>
    </row>
  </sheetData>
  <sheetProtection/>
  <mergeCells count="58">
    <mergeCell ref="D9:F12"/>
    <mergeCell ref="G9:L9"/>
    <mergeCell ref="K13:K14"/>
    <mergeCell ref="L13:L14"/>
    <mergeCell ref="G11:I12"/>
    <mergeCell ref="J11:L12"/>
    <mergeCell ref="D13:D14"/>
    <mergeCell ref="E13:E14"/>
    <mergeCell ref="F13:F14"/>
    <mergeCell ref="G13:G14"/>
    <mergeCell ref="A48:L48"/>
    <mergeCell ref="A7:A14"/>
    <mergeCell ref="B7:B14"/>
    <mergeCell ref="C7:C14"/>
    <mergeCell ref="D7:L7"/>
    <mergeCell ref="D8:L8"/>
    <mergeCell ref="F16:F18"/>
    <mergeCell ref="G16:G18"/>
    <mergeCell ref="G10:I10"/>
    <mergeCell ref="J10:L10"/>
    <mergeCell ref="H13:H14"/>
    <mergeCell ref="J13:J14"/>
    <mergeCell ref="L16:L18"/>
    <mergeCell ref="A19:A28"/>
    <mergeCell ref="B19:B28"/>
    <mergeCell ref="C19:C28"/>
    <mergeCell ref="D19:D28"/>
    <mergeCell ref="E19:E28"/>
    <mergeCell ref="B16:B18"/>
    <mergeCell ref="C16:C18"/>
    <mergeCell ref="D16:D18"/>
    <mergeCell ref="E16:E18"/>
    <mergeCell ref="I19:I28"/>
    <mergeCell ref="J19:J28"/>
    <mergeCell ref="K19:K28"/>
    <mergeCell ref="H16:H18"/>
    <mergeCell ref="I16:I18"/>
    <mergeCell ref="J16:J18"/>
    <mergeCell ref="K16:K18"/>
    <mergeCell ref="L19:L28"/>
    <mergeCell ref="A29:A34"/>
    <mergeCell ref="B29:B34"/>
    <mergeCell ref="C29:C34"/>
    <mergeCell ref="D29:D34"/>
    <mergeCell ref="E29:E34"/>
    <mergeCell ref="F29:F34"/>
    <mergeCell ref="F19:F28"/>
    <mergeCell ref="G19:G28"/>
    <mergeCell ref="H19:H28"/>
    <mergeCell ref="A37:L37"/>
    <mergeCell ref="A38:L38"/>
    <mergeCell ref="A47:L47"/>
    <mergeCell ref="G29:G34"/>
    <mergeCell ref="H29:H34"/>
    <mergeCell ref="I29:I34"/>
    <mergeCell ref="J29:J34"/>
    <mergeCell ref="K29:K34"/>
    <mergeCell ref="L29:L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A1" sqref="A1:D16384"/>
    </sheetView>
  </sheetViews>
  <sheetFormatPr defaultColWidth="9.140625" defaultRowHeight="15"/>
  <cols>
    <col min="1" max="1" width="49.7109375" style="0" customWidth="1"/>
    <col min="2" max="2" width="10.140625" style="0" customWidth="1"/>
    <col min="3" max="3" width="45.8515625" style="0" customWidth="1"/>
  </cols>
  <sheetData>
    <row r="1" ht="15.75">
      <c r="B1" s="35" t="s">
        <v>83</v>
      </c>
    </row>
    <row r="3" spans="2:4" ht="15.75">
      <c r="B3" s="30"/>
      <c r="D3" s="29" t="s">
        <v>84</v>
      </c>
    </row>
    <row r="4" ht="33.75" customHeight="1">
      <c r="B4" s="30" t="s">
        <v>85</v>
      </c>
    </row>
    <row r="5" spans="1:3" ht="15.75">
      <c r="A5" s="46"/>
      <c r="B5" s="47" t="s">
        <v>766</v>
      </c>
      <c r="C5" s="46"/>
    </row>
    <row r="6" ht="15.75">
      <c r="B6" s="30" t="s">
        <v>40</v>
      </c>
    </row>
    <row r="7" ht="15.75">
      <c r="A7" s="28"/>
    </row>
    <row r="8" spans="1:3" ht="75" customHeight="1">
      <c r="A8" s="638" t="s">
        <v>1</v>
      </c>
      <c r="B8" s="26" t="s">
        <v>86</v>
      </c>
      <c r="C8" s="638" t="s">
        <v>88</v>
      </c>
    </row>
    <row r="9" spans="1:3" ht="15.75">
      <c r="A9" s="638"/>
      <c r="B9" s="26" t="s">
        <v>87</v>
      </c>
      <c r="C9" s="638"/>
    </row>
    <row r="10" spans="1:3" ht="15.75">
      <c r="A10" s="26">
        <v>1</v>
      </c>
      <c r="B10" s="26">
        <v>2</v>
      </c>
      <c r="C10" s="26">
        <v>3</v>
      </c>
    </row>
    <row r="11" spans="1:3" ht="34.5" customHeight="1">
      <c r="A11" s="25" t="s">
        <v>59</v>
      </c>
      <c r="B11" s="82" t="s">
        <v>403</v>
      </c>
      <c r="C11" s="45">
        <v>0</v>
      </c>
    </row>
    <row r="12" spans="1:3" ht="42" customHeight="1">
      <c r="A12" s="25" t="s">
        <v>60</v>
      </c>
      <c r="B12" s="82" t="s">
        <v>404</v>
      </c>
      <c r="C12" s="45">
        <v>0</v>
      </c>
    </row>
    <row r="13" spans="1:3" ht="15.75">
      <c r="A13" s="25" t="s">
        <v>89</v>
      </c>
      <c r="B13" s="82" t="s">
        <v>405</v>
      </c>
      <c r="C13" s="45">
        <v>167919</v>
      </c>
    </row>
    <row r="14" spans="1:3" ht="30" customHeight="1">
      <c r="A14" s="25" t="s">
        <v>90</v>
      </c>
      <c r="B14" s="82" t="s">
        <v>406</v>
      </c>
      <c r="C14" s="472">
        <v>167919</v>
      </c>
    </row>
    <row r="15" spans="1:3" ht="15.75">
      <c r="A15" s="25"/>
      <c r="B15" s="25"/>
      <c r="C15" s="25"/>
    </row>
    <row r="16" ht="15.75">
      <c r="A16" s="28"/>
    </row>
    <row r="17" ht="15.75">
      <c r="A17" s="28" t="s">
        <v>91</v>
      </c>
    </row>
    <row r="18" spans="1:13" ht="21" customHeight="1">
      <c r="A18" s="647" t="s">
        <v>407</v>
      </c>
      <c r="B18" s="647"/>
      <c r="C18" s="647"/>
      <c r="D18" s="70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5" customHeight="1">
      <c r="A19" s="647"/>
      <c r="B19" s="647"/>
      <c r="C19" s="647"/>
      <c r="D19" s="70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15" customHeight="1">
      <c r="A20" s="647"/>
      <c r="B20" s="647"/>
      <c r="C20" s="647"/>
      <c r="D20" s="70"/>
      <c r="E20" s="27"/>
      <c r="F20" s="27"/>
      <c r="G20" s="27"/>
      <c r="H20" s="27"/>
      <c r="I20" s="27"/>
      <c r="J20" s="27"/>
      <c r="K20" s="27"/>
      <c r="L20" s="27"/>
      <c r="M20" s="27"/>
    </row>
    <row r="21" spans="1:4" ht="15" customHeight="1">
      <c r="A21" s="647"/>
      <c r="B21" s="647"/>
      <c r="C21" s="647"/>
      <c r="D21" s="70"/>
    </row>
    <row r="22" spans="1:4" ht="15" customHeight="1">
      <c r="A22" s="647"/>
      <c r="B22" s="647"/>
      <c r="C22" s="647"/>
      <c r="D22" s="70"/>
    </row>
    <row r="23" spans="1:4" ht="15" customHeight="1">
      <c r="A23" s="647"/>
      <c r="B23" s="647"/>
      <c r="C23" s="647"/>
      <c r="D23" s="70"/>
    </row>
    <row r="24" spans="1:4" ht="30.75" customHeight="1">
      <c r="A24" s="647"/>
      <c r="B24" s="647"/>
      <c r="C24" s="647"/>
      <c r="D24" s="70"/>
    </row>
    <row r="25" spans="1:3" ht="15">
      <c r="A25" s="647"/>
      <c r="B25" s="647"/>
      <c r="C25" s="647"/>
    </row>
  </sheetData>
  <sheetProtection/>
  <mergeCells count="3">
    <mergeCell ref="A8:A9"/>
    <mergeCell ref="C8:C9"/>
    <mergeCell ref="A18:C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D36"/>
  <sheetViews>
    <sheetView zoomScalePageLayoutView="0" workbookViewId="0" topLeftCell="A10">
      <selection activeCell="A10" sqref="A1:E16384"/>
    </sheetView>
  </sheetViews>
  <sheetFormatPr defaultColWidth="9.140625" defaultRowHeight="15"/>
  <cols>
    <col min="1" max="1" width="33.7109375" style="0" customWidth="1"/>
    <col min="2" max="2" width="14.140625" style="0" customWidth="1"/>
    <col min="3" max="3" width="27.8515625" style="0" customWidth="1"/>
    <col min="5" max="5" width="2.57421875" style="0" customWidth="1"/>
    <col min="6" max="6" width="0.5625" style="0" customWidth="1"/>
  </cols>
  <sheetData>
    <row r="5" ht="15.75">
      <c r="A5" s="35" t="s">
        <v>92</v>
      </c>
    </row>
    <row r="6" ht="15.75">
      <c r="D6" s="29" t="s">
        <v>93</v>
      </c>
    </row>
    <row r="7" ht="15.75">
      <c r="A7" s="29"/>
    </row>
    <row r="8" ht="15.75">
      <c r="A8" s="30" t="s">
        <v>94</v>
      </c>
    </row>
    <row r="9" ht="15.75">
      <c r="A9" s="28"/>
    </row>
    <row r="10" spans="1:3" ht="15.75">
      <c r="A10" s="26" t="s">
        <v>1</v>
      </c>
      <c r="B10" s="26" t="s">
        <v>45</v>
      </c>
      <c r="C10" s="26" t="s">
        <v>95</v>
      </c>
    </row>
    <row r="11" spans="1:3" ht="15.75">
      <c r="A11" s="26">
        <v>1</v>
      </c>
      <c r="B11" s="26">
        <v>2</v>
      </c>
      <c r="C11" s="26">
        <v>3</v>
      </c>
    </row>
    <row r="12" spans="1:3" ht="31.5" customHeight="1">
      <c r="A12" s="25" t="s">
        <v>96</v>
      </c>
      <c r="B12" s="82" t="s">
        <v>403</v>
      </c>
      <c r="C12" s="45">
        <v>0</v>
      </c>
    </row>
    <row r="13" spans="1:3" ht="54" customHeight="1">
      <c r="A13" s="25" t="s">
        <v>97</v>
      </c>
      <c r="B13" s="648" t="s">
        <v>404</v>
      </c>
      <c r="C13" s="649">
        <v>0</v>
      </c>
    </row>
    <row r="14" spans="1:3" ht="56.25" customHeight="1">
      <c r="A14" s="25" t="s">
        <v>98</v>
      </c>
      <c r="B14" s="648"/>
      <c r="C14" s="649"/>
    </row>
    <row r="15" ht="15.75">
      <c r="A15" s="28"/>
    </row>
    <row r="16" ht="15.75">
      <c r="A16" s="28"/>
    </row>
    <row r="17" ht="15.75">
      <c r="A17" s="28"/>
    </row>
    <row r="18" ht="15.75">
      <c r="A18" s="28" t="s">
        <v>99</v>
      </c>
    </row>
    <row r="19" spans="1:3" ht="15.75">
      <c r="A19" s="28" t="s">
        <v>100</v>
      </c>
      <c r="C19" t="s">
        <v>487</v>
      </c>
    </row>
    <row r="20" ht="15.75">
      <c r="A20" s="28" t="s">
        <v>101</v>
      </c>
    </row>
    <row r="21" ht="15.75">
      <c r="A21" s="28"/>
    </row>
    <row r="22" ht="15.75">
      <c r="A22" s="28" t="s">
        <v>102</v>
      </c>
    </row>
    <row r="23" ht="15.75">
      <c r="A23" s="28" t="s">
        <v>100</v>
      </c>
    </row>
    <row r="24" ht="15.75">
      <c r="A24" s="28" t="s">
        <v>101</v>
      </c>
    </row>
    <row r="25" ht="15.75">
      <c r="A25" s="28"/>
    </row>
    <row r="26" ht="15.75">
      <c r="A26" s="28" t="s">
        <v>103</v>
      </c>
    </row>
    <row r="27" ht="15.75">
      <c r="A27" s="28" t="s">
        <v>100</v>
      </c>
    </row>
    <row r="28" ht="15.75">
      <c r="A28" s="28" t="s">
        <v>101</v>
      </c>
    </row>
    <row r="29" ht="15.75">
      <c r="A29" s="28"/>
    </row>
    <row r="30" ht="15.75">
      <c r="A30" s="28" t="s">
        <v>13</v>
      </c>
    </row>
    <row r="31" spans="1:2" ht="15.75">
      <c r="A31" s="43"/>
      <c r="B31" s="44"/>
    </row>
    <row r="32" ht="15.75">
      <c r="A32" s="28" t="s">
        <v>104</v>
      </c>
    </row>
    <row r="33" ht="15.75">
      <c r="A33" s="28"/>
    </row>
    <row r="34" ht="15.75">
      <c r="A34" s="43" t="s">
        <v>763</v>
      </c>
    </row>
    <row r="35" ht="15.75">
      <c r="A35" s="28"/>
    </row>
    <row r="36" ht="15.75">
      <c r="A36" s="183">
        <v>43670</v>
      </c>
    </row>
  </sheetData>
  <sheetProtection/>
  <mergeCells count="2">
    <mergeCell ref="B13:B14"/>
    <mergeCell ref="C13:C14"/>
  </mergeCells>
  <printOptions/>
  <pageMargins left="0.7" right="0.7" top="0.75" bottom="0.75" header="0.3" footer="0.3"/>
  <pageSetup horizontalDpi="600" verticalDpi="6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F485"/>
  <sheetViews>
    <sheetView view="pageBreakPreview" zoomScale="60" zoomScalePageLayoutView="0" workbookViewId="0" topLeftCell="A76">
      <selection activeCell="B154" sqref="B154:C154"/>
    </sheetView>
  </sheetViews>
  <sheetFormatPr defaultColWidth="9.140625" defaultRowHeight="15"/>
  <cols>
    <col min="1" max="1" width="9.140625" style="186" customWidth="1"/>
    <col min="2" max="2" width="24.140625" style="187" customWidth="1"/>
    <col min="3" max="3" width="20.57421875" style="186" customWidth="1"/>
    <col min="4" max="4" width="21.28125" style="186" customWidth="1"/>
    <col min="5" max="5" width="20.7109375" style="186" customWidth="1"/>
    <col min="6" max="6" width="20.8515625" style="186" customWidth="1"/>
    <col min="7" max="7" width="21.28125" style="186" customWidth="1"/>
    <col min="8" max="8" width="18.421875" style="186" customWidth="1"/>
    <col min="9" max="9" width="19.57421875" style="186" customWidth="1"/>
    <col min="10" max="10" width="23.00390625" style="186" customWidth="1"/>
    <col min="11" max="11" width="24.421875" style="186" customWidth="1"/>
    <col min="12" max="12" width="16.140625" style="186" customWidth="1"/>
    <col min="13" max="16384" width="9.140625" style="186" customWidth="1"/>
  </cols>
  <sheetData>
    <row r="1" spans="5:6" ht="15.75" customHeight="1">
      <c r="E1" s="747"/>
      <c r="F1" s="747"/>
    </row>
    <row r="2" spans="1:26" s="190" customFormat="1" ht="40.5" customHeight="1">
      <c r="A2" s="748" t="s">
        <v>539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</row>
    <row r="3" spans="2:26" s="190" customFormat="1" ht="15.75" customHeight="1">
      <c r="B3" s="749" t="s">
        <v>852</v>
      </c>
      <c r="C3" s="749"/>
      <c r="D3" s="749"/>
      <c r="E3" s="749"/>
      <c r="F3" s="749"/>
      <c r="G3" s="749"/>
      <c r="H3" s="749"/>
      <c r="I3" s="74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</row>
    <row r="4" spans="1:162" ht="20.25" customHeight="1">
      <c r="A4" s="750" t="s">
        <v>540</v>
      </c>
      <c r="B4" s="750"/>
      <c r="C4" s="750"/>
      <c r="D4" s="750"/>
      <c r="E4" s="750"/>
      <c r="F4" s="750"/>
      <c r="G4" s="750"/>
      <c r="H4" s="750"/>
      <c r="I4" s="750"/>
      <c r="J4" s="750"/>
      <c r="K4" s="750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</row>
    <row r="5" spans="2:31" ht="15.75" customHeight="1">
      <c r="B5" s="186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</row>
    <row r="6" spans="2:31" ht="15.75" customHeight="1">
      <c r="B6" s="193" t="s">
        <v>541</v>
      </c>
      <c r="C6" s="193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</row>
    <row r="7" spans="2:31" ht="15.75" customHeight="1">
      <c r="B7" s="186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</row>
    <row r="8" spans="2:31" ht="15.75" customHeight="1">
      <c r="B8" s="193" t="s">
        <v>542</v>
      </c>
      <c r="C8" s="193"/>
      <c r="D8" s="193" t="s">
        <v>543</v>
      </c>
      <c r="E8" s="193"/>
      <c r="F8" s="193"/>
      <c r="G8" s="193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</row>
    <row r="9" spans="2:31" ht="15.75" customHeight="1">
      <c r="B9" s="186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</row>
    <row r="10" spans="2:31" ht="15.75" customHeight="1">
      <c r="B10" s="194" t="s">
        <v>544</v>
      </c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</row>
    <row r="11" spans="2:31" ht="15.75" customHeight="1">
      <c r="B11" s="186"/>
      <c r="J11" s="469">
        <v>18286841.5</v>
      </c>
      <c r="K11" s="466">
        <f>J20-J11</f>
        <v>-123437.53000000119</v>
      </c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</row>
    <row r="12" spans="1:83" ht="48" customHeight="1">
      <c r="A12" s="740" t="s">
        <v>545</v>
      </c>
      <c r="B12" s="741" t="s">
        <v>546</v>
      </c>
      <c r="C12" s="741" t="s">
        <v>547</v>
      </c>
      <c r="D12" s="744" t="s">
        <v>548</v>
      </c>
      <c r="E12" s="745"/>
      <c r="F12" s="745"/>
      <c r="G12" s="746"/>
      <c r="H12" s="731" t="s">
        <v>549</v>
      </c>
      <c r="I12" s="731" t="s">
        <v>550</v>
      </c>
      <c r="J12" s="731" t="s">
        <v>551</v>
      </c>
      <c r="K12" s="734" t="s">
        <v>552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195"/>
      <c r="BK12" s="195"/>
      <c r="BL12" s="195"/>
      <c r="BM12" s="195"/>
      <c r="BN12" s="195"/>
      <c r="BO12" s="195"/>
      <c r="BP12" s="195"/>
      <c r="BQ12" s="195"/>
      <c r="BR12" s="195"/>
      <c r="BS12" s="195"/>
      <c r="BT12" s="195"/>
      <c r="BU12" s="195"/>
      <c r="BV12" s="195"/>
      <c r="BW12" s="195"/>
      <c r="BX12" s="192"/>
      <c r="BY12" s="192"/>
      <c r="BZ12" s="192"/>
      <c r="CA12" s="192"/>
      <c r="CB12" s="192"/>
      <c r="CC12" s="192"/>
      <c r="CD12" s="192"/>
      <c r="CE12" s="192"/>
    </row>
    <row r="13" spans="1:73" ht="15.75" customHeight="1">
      <c r="A13" s="740"/>
      <c r="B13" s="742"/>
      <c r="C13" s="742"/>
      <c r="D13" s="196" t="s">
        <v>36</v>
      </c>
      <c r="E13" s="735" t="s">
        <v>4</v>
      </c>
      <c r="F13" s="736"/>
      <c r="G13" s="736"/>
      <c r="H13" s="732"/>
      <c r="I13" s="732"/>
      <c r="J13" s="732"/>
      <c r="K13" s="734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2"/>
      <c r="BI13" s="192"/>
      <c r="BJ13" s="192"/>
      <c r="BK13" s="192"/>
      <c r="BL13" s="192"/>
      <c r="BM13" s="192"/>
      <c r="BN13" s="192"/>
      <c r="BO13" s="192"/>
      <c r="BP13" s="192"/>
      <c r="BQ13" s="192"/>
      <c r="BR13" s="192"/>
      <c r="BS13" s="192"/>
      <c r="BT13" s="192"/>
      <c r="BU13" s="192"/>
    </row>
    <row r="14" spans="1:31" ht="46.5" customHeight="1">
      <c r="A14" s="740"/>
      <c r="B14" s="743"/>
      <c r="C14" s="743"/>
      <c r="D14" s="198"/>
      <c r="E14" s="199" t="s">
        <v>553</v>
      </c>
      <c r="F14" s="199" t="s">
        <v>554</v>
      </c>
      <c r="G14" s="197" t="s">
        <v>555</v>
      </c>
      <c r="H14" s="733"/>
      <c r="I14" s="733"/>
      <c r="J14" s="733"/>
      <c r="K14" s="734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2"/>
      <c r="AB14" s="192"/>
      <c r="AC14" s="192"/>
      <c r="AD14" s="192"/>
      <c r="AE14" s="192"/>
    </row>
    <row r="15" spans="1:31" ht="15.75" customHeight="1">
      <c r="A15" s="200">
        <v>1</v>
      </c>
      <c r="B15" s="201">
        <v>2</v>
      </c>
      <c r="C15" s="201">
        <v>3</v>
      </c>
      <c r="D15" s="202">
        <v>4</v>
      </c>
      <c r="E15" s="203">
        <v>5</v>
      </c>
      <c r="F15" s="204">
        <v>6</v>
      </c>
      <c r="G15" s="201">
        <v>7</v>
      </c>
      <c r="H15" s="201">
        <v>8</v>
      </c>
      <c r="I15" s="201">
        <v>9</v>
      </c>
      <c r="J15" s="204">
        <v>10</v>
      </c>
      <c r="K15" s="204">
        <v>11</v>
      </c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92"/>
      <c r="AB15" s="192"/>
      <c r="AC15" s="192"/>
      <c r="AD15" s="192"/>
      <c r="AE15" s="192"/>
    </row>
    <row r="16" spans="1:31" ht="15.75" customHeight="1">
      <c r="A16" s="206"/>
      <c r="B16" s="207" t="s">
        <v>556</v>
      </c>
      <c r="C16" s="208">
        <v>4</v>
      </c>
      <c r="D16" s="208">
        <f>SUM(E16:G16)</f>
        <v>33046.7</v>
      </c>
      <c r="E16" s="209">
        <v>16110</v>
      </c>
      <c r="F16" s="209">
        <v>0</v>
      </c>
      <c r="G16" s="208">
        <f>18830.35-1893.65</f>
        <v>16936.699999999997</v>
      </c>
      <c r="H16" s="208">
        <v>0</v>
      </c>
      <c r="I16" s="208">
        <v>1.15</v>
      </c>
      <c r="J16" s="210">
        <f>(C16*D16*(1+H16/100)*I16*12)</f>
        <v>1824177.8399999999</v>
      </c>
      <c r="K16" s="211" t="s">
        <v>557</v>
      </c>
      <c r="L16" s="212"/>
      <c r="M16" s="212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192"/>
      <c r="AB16" s="192"/>
      <c r="AC16" s="192"/>
      <c r="AD16" s="192"/>
      <c r="AE16" s="192"/>
    </row>
    <row r="17" spans="1:31" ht="15.75" customHeight="1">
      <c r="A17" s="206"/>
      <c r="B17" s="207" t="s">
        <v>558</v>
      </c>
      <c r="C17" s="208">
        <v>3</v>
      </c>
      <c r="D17" s="208">
        <f>SUM(E17:G17)</f>
        <v>24380.72</v>
      </c>
      <c r="E17" s="209">
        <v>7000</v>
      </c>
      <c r="F17" s="209">
        <v>0</v>
      </c>
      <c r="G17" s="208">
        <f>21385-4000-0.03-0.87-3.38</f>
        <v>17380.72</v>
      </c>
      <c r="H17" s="208">
        <v>0</v>
      </c>
      <c r="I17" s="208">
        <v>1.15</v>
      </c>
      <c r="J17" s="210">
        <f>(C17*D17*(1+H17/100)*I17*12)</f>
        <v>1009361.808</v>
      </c>
      <c r="K17" s="211" t="s">
        <v>557</v>
      </c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192"/>
      <c r="AB17" s="192"/>
      <c r="AC17" s="192"/>
      <c r="AD17" s="192"/>
      <c r="AE17" s="192"/>
    </row>
    <row r="18" spans="1:31" ht="15.75" customHeight="1">
      <c r="A18" s="206"/>
      <c r="B18" s="207" t="s">
        <v>559</v>
      </c>
      <c r="C18" s="208">
        <v>44</v>
      </c>
      <c r="D18" s="208">
        <f>SUM(E18:G18)</f>
        <v>23393.88</v>
      </c>
      <c r="E18" s="209">
        <v>7000</v>
      </c>
      <c r="F18" s="209">
        <v>0</v>
      </c>
      <c r="G18" s="208">
        <f>13118-60+3165.54+373.34-203</f>
        <v>16393.88</v>
      </c>
      <c r="H18" s="208">
        <v>0</v>
      </c>
      <c r="I18" s="208">
        <v>1.15</v>
      </c>
      <c r="J18" s="210">
        <f>(C18*D18*(1+H18/100)*I18*12)+0.19</f>
        <v>14204764.126</v>
      </c>
      <c r="K18" s="211" t="s">
        <v>557</v>
      </c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192"/>
      <c r="AB18" s="192"/>
      <c r="AC18" s="192"/>
      <c r="AD18" s="192"/>
      <c r="AE18" s="192"/>
    </row>
    <row r="19" spans="1:31" ht="15.75" customHeight="1">
      <c r="A19" s="206"/>
      <c r="B19" s="207" t="s">
        <v>560</v>
      </c>
      <c r="C19" s="208">
        <v>4</v>
      </c>
      <c r="D19" s="208">
        <f>SUM(E19:G19)</f>
        <v>20382.25</v>
      </c>
      <c r="E19" s="209">
        <v>5880</v>
      </c>
      <c r="F19" s="209">
        <v>0</v>
      </c>
      <c r="G19" s="208">
        <f>16002.25-1500</f>
        <v>14502.25</v>
      </c>
      <c r="H19" s="208">
        <v>0</v>
      </c>
      <c r="I19" s="208">
        <v>1.15</v>
      </c>
      <c r="J19" s="210">
        <f>(C19*D19*(1+H19/100)*I19*12)</f>
        <v>1125100.2</v>
      </c>
      <c r="K19" s="211" t="s">
        <v>557</v>
      </c>
      <c r="L19" s="212"/>
      <c r="M19" s="212"/>
      <c r="N19" s="212"/>
      <c r="O19" s="212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192"/>
      <c r="AB19" s="192"/>
      <c r="AC19" s="192"/>
      <c r="AD19" s="192"/>
      <c r="AE19" s="192"/>
    </row>
    <row r="20" spans="1:31" s="194" customFormat="1" ht="15.75" customHeight="1">
      <c r="A20" s="219"/>
      <c r="B20" s="381"/>
      <c r="C20" s="382">
        <f>SUM(C16:C19)</f>
        <v>55</v>
      </c>
      <c r="D20" s="382"/>
      <c r="E20" s="383"/>
      <c r="F20" s="383"/>
      <c r="G20" s="382"/>
      <c r="H20" s="382"/>
      <c r="I20" s="382"/>
      <c r="J20" s="214">
        <f>ROUND(SUM(J16:J19),2)</f>
        <v>18163403.97</v>
      </c>
      <c r="K20" s="384"/>
      <c r="L20" s="344"/>
      <c r="M20" s="344"/>
      <c r="N20" s="344"/>
      <c r="O20" s="344"/>
      <c r="P20" s="344"/>
      <c r="Q20" s="344"/>
      <c r="R20" s="344"/>
      <c r="S20" s="344"/>
      <c r="T20" s="344"/>
      <c r="U20" s="344"/>
      <c r="V20" s="344"/>
      <c r="W20" s="344"/>
      <c r="X20" s="344"/>
      <c r="Y20" s="344"/>
      <c r="Z20" s="344"/>
      <c r="AA20" s="223"/>
      <c r="AB20" s="223"/>
      <c r="AC20" s="223"/>
      <c r="AD20" s="223"/>
      <c r="AE20" s="223"/>
    </row>
    <row r="21" spans="1:31" s="194" customFormat="1" ht="15.75" customHeight="1">
      <c r="A21" s="219"/>
      <c r="B21" s="207" t="s">
        <v>556</v>
      </c>
      <c r="C21" s="208">
        <v>3</v>
      </c>
      <c r="D21" s="208">
        <f>SUM(E21:H21)</f>
        <v>34879.55</v>
      </c>
      <c r="E21" s="208">
        <v>9882.12</v>
      </c>
      <c r="F21" s="208">
        <v>7471</v>
      </c>
      <c r="G21" s="208">
        <f>17528.07-1.64</f>
        <v>17526.43</v>
      </c>
      <c r="H21" s="215">
        <v>0</v>
      </c>
      <c r="I21" s="215">
        <v>1.15</v>
      </c>
      <c r="J21" s="210">
        <f>(C21*D21*(1+H21/100)*I21*12)</f>
        <v>1444013.3699999999</v>
      </c>
      <c r="K21" s="384"/>
      <c r="L21" s="344"/>
      <c r="M21" s="344"/>
      <c r="N21" s="344"/>
      <c r="O21" s="344"/>
      <c r="P21" s="344"/>
      <c r="Q21" s="344"/>
      <c r="R21" s="344"/>
      <c r="S21" s="344"/>
      <c r="T21" s="344"/>
      <c r="U21" s="344"/>
      <c r="V21" s="344"/>
      <c r="W21" s="344"/>
      <c r="X21" s="344"/>
      <c r="Y21" s="344"/>
      <c r="Z21" s="344"/>
      <c r="AA21" s="223"/>
      <c r="AB21" s="223"/>
      <c r="AC21" s="223"/>
      <c r="AD21" s="223"/>
      <c r="AE21" s="223"/>
    </row>
    <row r="22" spans="1:31" s="194" customFormat="1" ht="15.75" customHeight="1">
      <c r="A22" s="219"/>
      <c r="B22" s="207" t="s">
        <v>558</v>
      </c>
      <c r="C22" s="208">
        <v>13</v>
      </c>
      <c r="D22" s="208">
        <f>SUM(E22:H22)</f>
        <v>22395.54</v>
      </c>
      <c r="E22" s="208">
        <v>9216.89</v>
      </c>
      <c r="F22" s="208">
        <v>1083.63</v>
      </c>
      <c r="G22" s="208">
        <f>12875.02-780</f>
        <v>12095.02</v>
      </c>
      <c r="H22" s="215">
        <v>0</v>
      </c>
      <c r="I22" s="215">
        <v>1.15</v>
      </c>
      <c r="J22" s="210">
        <f>(C22*D22*(1+H22/100)*I22*12)-0.11</f>
        <v>4017759.766</v>
      </c>
      <c r="K22" s="384"/>
      <c r="L22" s="344"/>
      <c r="M22" s="344"/>
      <c r="N22" s="344"/>
      <c r="O22" s="344"/>
      <c r="P22" s="344"/>
      <c r="Q22" s="344"/>
      <c r="R22" s="344"/>
      <c r="S22" s="344"/>
      <c r="T22" s="344"/>
      <c r="U22" s="344"/>
      <c r="V22" s="344"/>
      <c r="W22" s="344"/>
      <c r="X22" s="344"/>
      <c r="Y22" s="344"/>
      <c r="Z22" s="344"/>
      <c r="AA22" s="223"/>
      <c r="AB22" s="223"/>
      <c r="AC22" s="223"/>
      <c r="AD22" s="223"/>
      <c r="AE22" s="223"/>
    </row>
    <row r="23" spans="1:31" s="194" customFormat="1" ht="15.75" customHeight="1">
      <c r="A23" s="219"/>
      <c r="B23" s="207" t="s">
        <v>559</v>
      </c>
      <c r="C23" s="208">
        <v>6</v>
      </c>
      <c r="D23" s="208">
        <f>SUM(E23:H23)</f>
        <v>23808.4</v>
      </c>
      <c r="E23" s="208">
        <v>7027.4</v>
      </c>
      <c r="F23" s="208">
        <v>1151.08</v>
      </c>
      <c r="G23" s="208">
        <v>15629.92</v>
      </c>
      <c r="H23" s="215">
        <v>0</v>
      </c>
      <c r="I23" s="215">
        <v>1.15</v>
      </c>
      <c r="J23" s="210">
        <f>(C23*D23*(1+H23/100)*I23*12)</f>
        <v>1971335.5200000003</v>
      </c>
      <c r="K23" s="384"/>
      <c r="L23" s="344"/>
      <c r="M23" s="344"/>
      <c r="N23" s="344"/>
      <c r="O23" s="344"/>
      <c r="P23" s="344"/>
      <c r="Q23" s="344"/>
      <c r="R23" s="344"/>
      <c r="S23" s="344"/>
      <c r="T23" s="344"/>
      <c r="U23" s="344"/>
      <c r="V23" s="344"/>
      <c r="W23" s="344"/>
      <c r="X23" s="344"/>
      <c r="Y23" s="344"/>
      <c r="Z23" s="344"/>
      <c r="AA23" s="223"/>
      <c r="AB23" s="223"/>
      <c r="AC23" s="223"/>
      <c r="AD23" s="223"/>
      <c r="AE23" s="223"/>
    </row>
    <row r="24" spans="1:31" s="194" customFormat="1" ht="15.75" customHeight="1">
      <c r="A24" s="219"/>
      <c r="B24" s="207" t="s">
        <v>560</v>
      </c>
      <c r="C24" s="208">
        <v>14</v>
      </c>
      <c r="D24" s="208">
        <f>SUM(E24:H24)</f>
        <v>13886.76</v>
      </c>
      <c r="E24" s="208">
        <v>4835.77</v>
      </c>
      <c r="F24" s="208">
        <v>2673.62</v>
      </c>
      <c r="G24" s="208">
        <v>6377.37</v>
      </c>
      <c r="H24" s="215">
        <v>0</v>
      </c>
      <c r="I24" s="215">
        <v>1.15</v>
      </c>
      <c r="J24" s="210">
        <f>(C24*D24*(1+H24/100)*I24*12)</f>
        <v>2682922.032</v>
      </c>
      <c r="K24" s="38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223"/>
      <c r="AB24" s="223"/>
      <c r="AC24" s="223"/>
      <c r="AD24" s="223"/>
      <c r="AE24" s="223"/>
    </row>
    <row r="25" spans="1:31" s="194" customFormat="1" ht="15.75" customHeight="1">
      <c r="A25" s="219"/>
      <c r="B25" s="213" t="s">
        <v>561</v>
      </c>
      <c r="C25" s="202" t="s">
        <v>562</v>
      </c>
      <c r="D25" s="202"/>
      <c r="E25" s="203" t="s">
        <v>562</v>
      </c>
      <c r="F25" s="203" t="s">
        <v>562</v>
      </c>
      <c r="G25" s="215" t="s">
        <v>562</v>
      </c>
      <c r="H25" s="215" t="s">
        <v>562</v>
      </c>
      <c r="I25" s="215" t="s">
        <v>562</v>
      </c>
      <c r="J25" s="214">
        <f>SUM(J21:J24)</f>
        <v>10116030.688000001</v>
      </c>
      <c r="K25" s="384"/>
      <c r="L25" s="344"/>
      <c r="M25" s="344"/>
      <c r="N25" s="344"/>
      <c r="O25" s="344"/>
      <c r="P25" s="344"/>
      <c r="Q25" s="344"/>
      <c r="R25" s="344"/>
      <c r="S25" s="344"/>
      <c r="T25" s="344"/>
      <c r="U25" s="344"/>
      <c r="V25" s="344"/>
      <c r="W25" s="344"/>
      <c r="X25" s="344"/>
      <c r="Y25" s="344"/>
      <c r="Z25" s="344"/>
      <c r="AA25" s="223"/>
      <c r="AB25" s="223"/>
      <c r="AC25" s="223"/>
      <c r="AD25" s="223"/>
      <c r="AE25" s="223"/>
    </row>
    <row r="26" spans="1:31" ht="15.75" customHeight="1">
      <c r="A26" s="206"/>
      <c r="B26" s="207" t="s">
        <v>747</v>
      </c>
      <c r="C26" s="208"/>
      <c r="D26" s="208"/>
      <c r="E26" s="209"/>
      <c r="F26" s="209"/>
      <c r="G26" s="208"/>
      <c r="H26" s="208"/>
      <c r="I26" s="208"/>
      <c r="J26" s="210">
        <v>47432.87</v>
      </c>
      <c r="K26" s="211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192"/>
      <c r="AB26" s="192"/>
      <c r="AC26" s="192"/>
      <c r="AD26" s="192"/>
      <c r="AE26" s="192"/>
    </row>
    <row r="27" spans="1:31" ht="15.75" customHeight="1">
      <c r="A27" s="206"/>
      <c r="B27" s="207" t="s">
        <v>759</v>
      </c>
      <c r="C27" s="208"/>
      <c r="D27" s="208"/>
      <c r="E27" s="209"/>
      <c r="F27" s="209"/>
      <c r="G27" s="208"/>
      <c r="H27" s="208"/>
      <c r="I27" s="208"/>
      <c r="J27" s="210">
        <v>80000</v>
      </c>
      <c r="K27" s="211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192"/>
      <c r="AB27" s="192"/>
      <c r="AC27" s="192"/>
      <c r="AD27" s="192"/>
      <c r="AE27" s="192"/>
    </row>
    <row r="28" spans="1:31" s="194" customFormat="1" ht="15.75" customHeight="1">
      <c r="A28" s="219"/>
      <c r="B28" s="385" t="s">
        <v>561</v>
      </c>
      <c r="C28" s="382" t="s">
        <v>562</v>
      </c>
      <c r="D28" s="382"/>
      <c r="E28" s="383" t="s">
        <v>562</v>
      </c>
      <c r="F28" s="383" t="s">
        <v>562</v>
      </c>
      <c r="G28" s="382" t="s">
        <v>562</v>
      </c>
      <c r="H28" s="382" t="s">
        <v>562</v>
      </c>
      <c r="I28" s="382" t="s">
        <v>562</v>
      </c>
      <c r="J28" s="214">
        <f>J20+J25+J26+J27</f>
        <v>28406867.528</v>
      </c>
      <c r="K28" s="386" t="s">
        <v>562</v>
      </c>
      <c r="L28" s="344"/>
      <c r="M28" s="344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223"/>
      <c r="AB28" s="223"/>
      <c r="AC28" s="223"/>
      <c r="AD28" s="223"/>
      <c r="AE28" s="223"/>
    </row>
    <row r="29" spans="1:31" ht="15.75" customHeight="1">
      <c r="A29" s="206"/>
      <c r="B29" s="207" t="s">
        <v>556</v>
      </c>
      <c r="C29" s="202"/>
      <c r="D29" s="202"/>
      <c r="E29" s="203"/>
      <c r="F29" s="203"/>
      <c r="G29" s="215"/>
      <c r="H29" s="215"/>
      <c r="I29" s="215"/>
      <c r="J29" s="203">
        <f>(C29*D29*(1+H29/100)*I29*12)</f>
        <v>0</v>
      </c>
      <c r="K29" s="211" t="s">
        <v>563</v>
      </c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192"/>
      <c r="AB29" s="192"/>
      <c r="AC29" s="192"/>
      <c r="AD29" s="192"/>
      <c r="AE29" s="192"/>
    </row>
    <row r="30" spans="1:31" ht="15.75" customHeight="1">
      <c r="A30" s="206"/>
      <c r="B30" s="207" t="s">
        <v>558</v>
      </c>
      <c r="C30" s="202"/>
      <c r="D30" s="202"/>
      <c r="E30" s="203"/>
      <c r="F30" s="203"/>
      <c r="G30" s="215"/>
      <c r="H30" s="215"/>
      <c r="I30" s="215"/>
      <c r="J30" s="203">
        <f>(C30*D30*(1+H30/100)*I30*12)</f>
        <v>0</v>
      </c>
      <c r="K30" s="211" t="s">
        <v>563</v>
      </c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192"/>
      <c r="AB30" s="192"/>
      <c r="AC30" s="192"/>
      <c r="AD30" s="192"/>
      <c r="AE30" s="192"/>
    </row>
    <row r="31" spans="1:31" ht="15.75" customHeight="1">
      <c r="A31" s="206"/>
      <c r="B31" s="207" t="s">
        <v>559</v>
      </c>
      <c r="C31" s="202"/>
      <c r="D31" s="202"/>
      <c r="E31" s="203"/>
      <c r="F31" s="203"/>
      <c r="G31" s="215"/>
      <c r="H31" s="215"/>
      <c r="I31" s="215"/>
      <c r="J31" s="203">
        <f>(C31*D31*(1+H31/100)*I31*12)</f>
        <v>0</v>
      </c>
      <c r="K31" s="211" t="s">
        <v>563</v>
      </c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192"/>
      <c r="AB31" s="192"/>
      <c r="AC31" s="192"/>
      <c r="AD31" s="192"/>
      <c r="AE31" s="192"/>
    </row>
    <row r="32" spans="1:31" ht="15.75" customHeight="1">
      <c r="A32" s="206"/>
      <c r="B32" s="207" t="s">
        <v>560</v>
      </c>
      <c r="C32" s="202"/>
      <c r="D32" s="202"/>
      <c r="E32" s="203"/>
      <c r="F32" s="203"/>
      <c r="G32" s="215"/>
      <c r="H32" s="215"/>
      <c r="I32" s="215"/>
      <c r="J32" s="203">
        <f>(C32*D32*(1+H32/100)*I32*12)</f>
        <v>0</v>
      </c>
      <c r="K32" s="211" t="s">
        <v>563</v>
      </c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192"/>
      <c r="AB32" s="192"/>
      <c r="AC32" s="192"/>
      <c r="AD32" s="192"/>
      <c r="AE32" s="192"/>
    </row>
    <row r="33" spans="1:31" ht="15.75" customHeight="1">
      <c r="A33" s="206"/>
      <c r="B33" s="213" t="s">
        <v>561</v>
      </c>
      <c r="C33" s="202" t="s">
        <v>562</v>
      </c>
      <c r="D33" s="202"/>
      <c r="E33" s="203" t="s">
        <v>562</v>
      </c>
      <c r="F33" s="203" t="s">
        <v>562</v>
      </c>
      <c r="G33" s="215" t="s">
        <v>562</v>
      </c>
      <c r="H33" s="215" t="s">
        <v>562</v>
      </c>
      <c r="I33" s="215" t="s">
        <v>562</v>
      </c>
      <c r="J33" s="203">
        <f>SUM(J29:J32)</f>
        <v>0</v>
      </c>
      <c r="K33" s="203" t="s">
        <v>562</v>
      </c>
      <c r="L33" s="409">
        <f>J20+G105</f>
        <v>26746076.04</v>
      </c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</row>
    <row r="34" spans="1:12" ht="15.75" customHeight="1">
      <c r="A34" s="737" t="s">
        <v>561</v>
      </c>
      <c r="B34" s="738"/>
      <c r="C34" s="216" t="s">
        <v>562</v>
      </c>
      <c r="D34" s="217"/>
      <c r="E34" s="217"/>
      <c r="F34" s="217"/>
      <c r="G34" s="217"/>
      <c r="H34" s="217"/>
      <c r="I34" s="217"/>
      <c r="J34" s="218" t="s">
        <v>562</v>
      </c>
      <c r="K34" s="219"/>
      <c r="L34" s="387">
        <f>J28+G105</f>
        <v>36989539.598000005</v>
      </c>
    </row>
    <row r="35" spans="1:11" ht="15.75" customHeight="1">
      <c r="A35" s="192"/>
      <c r="B35" s="220"/>
      <c r="C35" s="221"/>
      <c r="D35" s="220"/>
      <c r="E35" s="220"/>
      <c r="F35" s="220"/>
      <c r="G35" s="220"/>
      <c r="H35" s="220"/>
      <c r="I35" s="220"/>
      <c r="J35" s="542">
        <f>J20-K35</f>
        <v>0</v>
      </c>
      <c r="K35" s="543">
        <v>18163403.97</v>
      </c>
    </row>
    <row r="36" spans="2:31" ht="15.75" customHeight="1" hidden="1">
      <c r="B36" s="194" t="s">
        <v>853</v>
      </c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</row>
    <row r="37" spans="2:31" ht="15.75" customHeight="1" hidden="1">
      <c r="B37" s="186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</row>
    <row r="38" spans="1:83" ht="15.75" customHeight="1" hidden="1">
      <c r="A38" s="740" t="s">
        <v>545</v>
      </c>
      <c r="B38" s="741" t="s">
        <v>546</v>
      </c>
      <c r="C38" s="741" t="s">
        <v>547</v>
      </c>
      <c r="D38" s="744" t="s">
        <v>548</v>
      </c>
      <c r="E38" s="745"/>
      <c r="F38" s="745"/>
      <c r="G38" s="746"/>
      <c r="H38" s="731" t="s">
        <v>549</v>
      </c>
      <c r="I38" s="731" t="s">
        <v>550</v>
      </c>
      <c r="J38" s="731" t="s">
        <v>551</v>
      </c>
      <c r="K38" s="734" t="s">
        <v>552</v>
      </c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95"/>
      <c r="X38" s="195"/>
      <c r="Y38" s="195"/>
      <c r="Z38" s="195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5"/>
      <c r="BG38" s="195"/>
      <c r="BH38" s="195"/>
      <c r="BI38" s="195"/>
      <c r="BJ38" s="195"/>
      <c r="BK38" s="195"/>
      <c r="BL38" s="195"/>
      <c r="BM38" s="195"/>
      <c r="BN38" s="195"/>
      <c r="BO38" s="195"/>
      <c r="BP38" s="195"/>
      <c r="BQ38" s="195"/>
      <c r="BR38" s="195"/>
      <c r="BS38" s="195"/>
      <c r="BT38" s="195"/>
      <c r="BU38" s="195"/>
      <c r="BV38" s="195"/>
      <c r="BW38" s="195"/>
      <c r="BX38" s="192"/>
      <c r="BY38" s="192"/>
      <c r="BZ38" s="192"/>
      <c r="CA38" s="192"/>
      <c r="CB38" s="192"/>
      <c r="CC38" s="192"/>
      <c r="CD38" s="192"/>
      <c r="CE38" s="192"/>
    </row>
    <row r="39" spans="1:73" ht="15.75" customHeight="1" hidden="1">
      <c r="A39" s="740"/>
      <c r="B39" s="742"/>
      <c r="C39" s="742"/>
      <c r="D39" s="196" t="s">
        <v>36</v>
      </c>
      <c r="E39" s="735" t="s">
        <v>4</v>
      </c>
      <c r="F39" s="736"/>
      <c r="G39" s="736"/>
      <c r="H39" s="732"/>
      <c r="I39" s="732"/>
      <c r="J39" s="732"/>
      <c r="K39" s="734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</row>
    <row r="40" spans="1:31" ht="42" customHeight="1" hidden="1">
      <c r="A40" s="740"/>
      <c r="B40" s="743"/>
      <c r="C40" s="743"/>
      <c r="D40" s="198"/>
      <c r="E40" s="199" t="s">
        <v>553</v>
      </c>
      <c r="F40" s="199" t="s">
        <v>554</v>
      </c>
      <c r="G40" s="197" t="s">
        <v>555</v>
      </c>
      <c r="H40" s="733"/>
      <c r="I40" s="733"/>
      <c r="J40" s="733"/>
      <c r="K40" s="734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  <c r="Z40" s="195"/>
      <c r="AA40" s="192"/>
      <c r="AB40" s="192"/>
      <c r="AC40" s="192"/>
      <c r="AD40" s="192"/>
      <c r="AE40" s="192"/>
    </row>
    <row r="41" spans="1:31" ht="15.75" customHeight="1" hidden="1">
      <c r="A41" s="200">
        <v>1</v>
      </c>
      <c r="B41" s="201">
        <v>2</v>
      </c>
      <c r="C41" s="201">
        <v>3</v>
      </c>
      <c r="D41" s="202">
        <v>4</v>
      </c>
      <c r="E41" s="203">
        <v>5</v>
      </c>
      <c r="F41" s="204">
        <v>6</v>
      </c>
      <c r="G41" s="201">
        <v>7</v>
      </c>
      <c r="H41" s="201">
        <v>8</v>
      </c>
      <c r="I41" s="201">
        <v>9</v>
      </c>
      <c r="J41" s="204">
        <v>10</v>
      </c>
      <c r="K41" s="204">
        <v>11</v>
      </c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192"/>
      <c r="AB41" s="192"/>
      <c r="AC41" s="192"/>
      <c r="AD41" s="192"/>
      <c r="AE41" s="192"/>
    </row>
    <row r="42" spans="1:31" ht="15.75" customHeight="1" hidden="1">
      <c r="A42" s="206"/>
      <c r="B42" s="207" t="s">
        <v>556</v>
      </c>
      <c r="C42" s="208">
        <v>3</v>
      </c>
      <c r="D42" s="208">
        <f>SUM(E42:H42)</f>
        <v>34879.55</v>
      </c>
      <c r="E42" s="208">
        <v>9882.12</v>
      </c>
      <c r="F42" s="208">
        <v>7471</v>
      </c>
      <c r="G42" s="208">
        <f>17528.07-1.64</f>
        <v>17526.43</v>
      </c>
      <c r="H42" s="215">
        <v>0</v>
      </c>
      <c r="I42" s="215">
        <v>1.15</v>
      </c>
      <c r="J42" s="210"/>
      <c r="K42" s="211" t="s">
        <v>557</v>
      </c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192"/>
      <c r="AB42" s="192"/>
      <c r="AC42" s="192"/>
      <c r="AD42" s="192"/>
      <c r="AE42" s="192"/>
    </row>
    <row r="43" spans="1:31" ht="15.75" customHeight="1" hidden="1">
      <c r="A43" s="206"/>
      <c r="B43" s="207" t="s">
        <v>558</v>
      </c>
      <c r="C43" s="208">
        <v>13</v>
      </c>
      <c r="D43" s="208">
        <f>SUM(E43:H43)</f>
        <v>22395.54</v>
      </c>
      <c r="E43" s="208">
        <v>9216.89</v>
      </c>
      <c r="F43" s="208">
        <v>1083.63</v>
      </c>
      <c r="G43" s="208">
        <f>12875.02-780</f>
        <v>12095.02</v>
      </c>
      <c r="H43" s="215">
        <v>0</v>
      </c>
      <c r="I43" s="215">
        <v>1.15</v>
      </c>
      <c r="J43" s="210"/>
      <c r="K43" s="211" t="s">
        <v>557</v>
      </c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192"/>
      <c r="AB43" s="192"/>
      <c r="AC43" s="192"/>
      <c r="AD43" s="192"/>
      <c r="AE43" s="192"/>
    </row>
    <row r="44" spans="1:31" ht="15.75" customHeight="1" hidden="1">
      <c r="A44" s="206"/>
      <c r="B44" s="207" t="s">
        <v>559</v>
      </c>
      <c r="C44" s="208">
        <v>6</v>
      </c>
      <c r="D44" s="208">
        <f>SUM(E44:H44)</f>
        <v>23808.4</v>
      </c>
      <c r="E44" s="208">
        <v>7027.4</v>
      </c>
      <c r="F44" s="208">
        <v>1151.08</v>
      </c>
      <c r="G44" s="208">
        <v>15629.92</v>
      </c>
      <c r="H44" s="215">
        <v>0</v>
      </c>
      <c r="I44" s="215">
        <v>1.15</v>
      </c>
      <c r="J44" s="210"/>
      <c r="K44" s="211" t="s">
        <v>557</v>
      </c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192"/>
      <c r="AB44" s="192"/>
      <c r="AC44" s="192"/>
      <c r="AD44" s="192"/>
      <c r="AE44" s="192"/>
    </row>
    <row r="45" spans="1:31" ht="15.75" customHeight="1" hidden="1">
      <c r="A45" s="206"/>
      <c r="B45" s="207" t="s">
        <v>560</v>
      </c>
      <c r="C45" s="208">
        <v>14</v>
      </c>
      <c r="D45" s="208">
        <f>SUM(E45:H45)</f>
        <v>13886.76</v>
      </c>
      <c r="E45" s="208">
        <v>4835.77</v>
      </c>
      <c r="F45" s="208">
        <v>2673.62</v>
      </c>
      <c r="G45" s="208">
        <v>6377.37</v>
      </c>
      <c r="H45" s="215">
        <v>0</v>
      </c>
      <c r="I45" s="215">
        <v>1.15</v>
      </c>
      <c r="J45" s="210"/>
      <c r="K45" s="211" t="s">
        <v>557</v>
      </c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2"/>
      <c r="Y45" s="212"/>
      <c r="Z45" s="212"/>
      <c r="AA45" s="192"/>
      <c r="AB45" s="192"/>
      <c r="AC45" s="192"/>
      <c r="AD45" s="192"/>
      <c r="AE45" s="192"/>
    </row>
    <row r="46" spans="1:31" ht="15.75" customHeight="1" hidden="1">
      <c r="A46" s="206"/>
      <c r="B46" s="213" t="s">
        <v>561</v>
      </c>
      <c r="C46" s="202" t="s">
        <v>562</v>
      </c>
      <c r="D46" s="202"/>
      <c r="E46" s="203" t="s">
        <v>562</v>
      </c>
      <c r="F46" s="203" t="s">
        <v>562</v>
      </c>
      <c r="G46" s="215" t="s">
        <v>562</v>
      </c>
      <c r="H46" s="215" t="s">
        <v>562</v>
      </c>
      <c r="I46" s="215" t="s">
        <v>562</v>
      </c>
      <c r="J46" s="210"/>
      <c r="K46" s="203" t="s">
        <v>562</v>
      </c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2"/>
      <c r="Y46" s="212"/>
      <c r="Z46" s="212"/>
      <c r="AA46" s="192"/>
      <c r="AB46" s="192"/>
      <c r="AC46" s="192"/>
      <c r="AD46" s="192"/>
      <c r="AE46" s="192"/>
    </row>
    <row r="47" spans="1:31" ht="15.75" customHeight="1" hidden="1">
      <c r="A47" s="206"/>
      <c r="B47" s="207" t="s">
        <v>556</v>
      </c>
      <c r="C47" s="202"/>
      <c r="D47" s="202"/>
      <c r="E47" s="203"/>
      <c r="F47" s="203"/>
      <c r="G47" s="215"/>
      <c r="H47" s="215"/>
      <c r="I47" s="215"/>
      <c r="J47" s="520">
        <f>(C47*D47*(1+H47/100)*I47*12)</f>
        <v>0</v>
      </c>
      <c r="K47" s="211" t="s">
        <v>563</v>
      </c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2"/>
      <c r="Y47" s="212"/>
      <c r="Z47" s="212"/>
      <c r="AA47" s="192"/>
      <c r="AB47" s="192"/>
      <c r="AC47" s="192"/>
      <c r="AD47" s="192"/>
      <c r="AE47" s="192"/>
    </row>
    <row r="48" spans="1:31" ht="15.75" customHeight="1" hidden="1">
      <c r="A48" s="206"/>
      <c r="B48" s="207" t="s">
        <v>558</v>
      </c>
      <c r="C48" s="202"/>
      <c r="D48" s="202"/>
      <c r="E48" s="203"/>
      <c r="F48" s="203"/>
      <c r="G48" s="215"/>
      <c r="H48" s="215"/>
      <c r="I48" s="215"/>
      <c r="J48" s="520">
        <f>(C48*D48*(1+H48/100)*I48*12)</f>
        <v>0</v>
      </c>
      <c r="K48" s="211" t="s">
        <v>563</v>
      </c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2"/>
      <c r="Y48" s="212"/>
      <c r="Z48" s="212"/>
      <c r="AA48" s="192"/>
      <c r="AB48" s="192"/>
      <c r="AC48" s="192"/>
      <c r="AD48" s="192"/>
      <c r="AE48" s="192"/>
    </row>
    <row r="49" spans="1:31" ht="15.75" customHeight="1" hidden="1">
      <c r="A49" s="206"/>
      <c r="B49" s="207" t="s">
        <v>559</v>
      </c>
      <c r="C49" s="202"/>
      <c r="D49" s="202"/>
      <c r="E49" s="203"/>
      <c r="F49" s="203"/>
      <c r="G49" s="215"/>
      <c r="H49" s="215"/>
      <c r="I49" s="215"/>
      <c r="J49" s="520">
        <f>(C49*D49*(1+H49/100)*I49*12)</f>
        <v>0</v>
      </c>
      <c r="K49" s="211" t="s">
        <v>563</v>
      </c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192"/>
      <c r="AB49" s="192"/>
      <c r="AC49" s="192"/>
      <c r="AD49" s="192"/>
      <c r="AE49" s="192"/>
    </row>
    <row r="50" spans="1:31" ht="15.75" customHeight="1" hidden="1">
      <c r="A50" s="206"/>
      <c r="B50" s="207" t="s">
        <v>560</v>
      </c>
      <c r="C50" s="202"/>
      <c r="D50" s="202"/>
      <c r="E50" s="203"/>
      <c r="F50" s="203"/>
      <c r="G50" s="215"/>
      <c r="H50" s="215"/>
      <c r="I50" s="215"/>
      <c r="J50" s="520">
        <f>(C50*D50*(1+H50/100)*I50*12)</f>
        <v>0</v>
      </c>
      <c r="K50" s="211" t="s">
        <v>563</v>
      </c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2"/>
      <c r="Y50" s="212"/>
      <c r="Z50" s="212"/>
      <c r="AA50" s="192"/>
      <c r="AB50" s="192"/>
      <c r="AC50" s="192"/>
      <c r="AD50" s="192"/>
      <c r="AE50" s="192"/>
    </row>
    <row r="51" spans="1:31" ht="15.75" customHeight="1" hidden="1">
      <c r="A51" s="206"/>
      <c r="B51" s="213" t="s">
        <v>561</v>
      </c>
      <c r="C51" s="202" t="s">
        <v>562</v>
      </c>
      <c r="D51" s="202"/>
      <c r="E51" s="203" t="s">
        <v>562</v>
      </c>
      <c r="F51" s="203" t="s">
        <v>562</v>
      </c>
      <c r="G51" s="215" t="s">
        <v>562</v>
      </c>
      <c r="H51" s="215" t="s">
        <v>562</v>
      </c>
      <c r="I51" s="215" t="s">
        <v>562</v>
      </c>
      <c r="J51" s="520">
        <f>SUM(J47:J50)</f>
        <v>0</v>
      </c>
      <c r="K51" s="203" t="s">
        <v>562</v>
      </c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</row>
    <row r="52" spans="1:11" ht="15.75" customHeight="1" hidden="1">
      <c r="A52" s="737" t="s">
        <v>561</v>
      </c>
      <c r="B52" s="738"/>
      <c r="C52" s="521"/>
      <c r="D52" s="217"/>
      <c r="E52" s="217"/>
      <c r="F52" s="217"/>
      <c r="G52" s="217"/>
      <c r="H52" s="217"/>
      <c r="I52" s="217"/>
      <c r="J52" s="522">
        <f>J46+J51</f>
        <v>0</v>
      </c>
      <c r="K52" s="219"/>
    </row>
    <row r="53" spans="1:11" ht="15.75" customHeight="1">
      <c r="A53" s="192"/>
      <c r="B53" s="220"/>
      <c r="C53" s="221"/>
      <c r="D53" s="220"/>
      <c r="E53" s="220"/>
      <c r="F53" s="220"/>
      <c r="G53" s="220"/>
      <c r="H53" s="220"/>
      <c r="I53" s="220"/>
      <c r="J53" s="542">
        <f>J52-K53</f>
        <v>-10116030.69</v>
      </c>
      <c r="K53" s="543">
        <v>10116030.69</v>
      </c>
    </row>
    <row r="54" spans="1:11" ht="15.75" customHeight="1">
      <c r="A54" s="192"/>
      <c r="B54" s="220"/>
      <c r="C54" s="221"/>
      <c r="D54" s="220"/>
      <c r="E54" s="220"/>
      <c r="F54" s="220"/>
      <c r="G54" s="220"/>
      <c r="H54" s="220"/>
      <c r="I54" s="220"/>
      <c r="J54" s="222"/>
      <c r="K54" s="223"/>
    </row>
    <row r="55" spans="1:11" ht="208.5" customHeight="1">
      <c r="A55" s="739" t="s">
        <v>564</v>
      </c>
      <c r="B55" s="739"/>
      <c r="C55" s="739"/>
      <c r="D55" s="739"/>
      <c r="E55" s="739"/>
      <c r="F55" s="739"/>
      <c r="G55" s="739"/>
      <c r="H55" s="739"/>
      <c r="I55" s="739"/>
      <c r="J55" s="739"/>
      <c r="K55" s="739"/>
    </row>
    <row r="56" spans="2:11" ht="15.75" customHeight="1">
      <c r="B56" s="729"/>
      <c r="C56" s="729"/>
      <c r="D56" s="729"/>
      <c r="E56" s="729"/>
      <c r="F56" s="729"/>
      <c r="G56" s="729"/>
      <c r="H56" s="729"/>
      <c r="I56" s="729"/>
      <c r="J56" s="729"/>
      <c r="K56" s="729"/>
    </row>
    <row r="57" spans="2:9" ht="21" customHeight="1">
      <c r="B57" s="730" t="s">
        <v>565</v>
      </c>
      <c r="C57" s="730"/>
      <c r="D57" s="730"/>
      <c r="E57" s="730"/>
      <c r="F57" s="730"/>
      <c r="G57" s="730"/>
      <c r="H57" s="730"/>
      <c r="I57" s="730"/>
    </row>
    <row r="59" spans="1:9" ht="26.25" customHeight="1">
      <c r="A59" s="675" t="s">
        <v>545</v>
      </c>
      <c r="B59" s="677" t="s">
        <v>566</v>
      </c>
      <c r="C59" s="677" t="s">
        <v>567</v>
      </c>
      <c r="D59" s="677" t="s">
        <v>568</v>
      </c>
      <c r="E59" s="677" t="s">
        <v>569</v>
      </c>
      <c r="F59" s="717" t="s">
        <v>570</v>
      </c>
      <c r="G59" s="718"/>
      <c r="H59" s="719"/>
      <c r="I59" s="226"/>
    </row>
    <row r="60" spans="1:9" ht="39.75" customHeight="1">
      <c r="A60" s="676"/>
      <c r="B60" s="678"/>
      <c r="C60" s="678"/>
      <c r="D60" s="678"/>
      <c r="E60" s="678"/>
      <c r="F60" s="227" t="s">
        <v>33</v>
      </c>
      <c r="G60" s="225" t="s">
        <v>557</v>
      </c>
      <c r="H60" s="227" t="s">
        <v>563</v>
      </c>
      <c r="I60" s="228"/>
    </row>
    <row r="61" spans="1:9" ht="15.75">
      <c r="A61" s="206">
        <v>1</v>
      </c>
      <c r="B61" s="229">
        <v>2</v>
      </c>
      <c r="C61" s="229">
        <v>3</v>
      </c>
      <c r="D61" s="229">
        <v>4</v>
      </c>
      <c r="E61" s="229">
        <v>5</v>
      </c>
      <c r="F61" s="229">
        <v>6</v>
      </c>
      <c r="G61" s="230">
        <v>7</v>
      </c>
      <c r="H61" s="229">
        <v>8</v>
      </c>
      <c r="I61" s="231"/>
    </row>
    <row r="62" spans="1:9" ht="15.75">
      <c r="A62" s="206"/>
      <c r="B62" s="200"/>
      <c r="C62" s="206"/>
      <c r="D62" s="206"/>
      <c r="E62" s="206"/>
      <c r="F62" s="232"/>
      <c r="G62" s="233"/>
      <c r="H62" s="232"/>
      <c r="I62" s="192"/>
    </row>
    <row r="63" spans="1:9" ht="15.75">
      <c r="A63" s="206"/>
      <c r="B63" s="200"/>
      <c r="C63" s="206"/>
      <c r="D63" s="206"/>
      <c r="E63" s="206"/>
      <c r="F63" s="206"/>
      <c r="G63" s="233"/>
      <c r="H63" s="232"/>
      <c r="I63" s="192"/>
    </row>
    <row r="64" spans="1:9" ht="15.75">
      <c r="A64" s="650" t="s">
        <v>571</v>
      </c>
      <c r="B64" s="652"/>
      <c r="C64" s="200" t="s">
        <v>562</v>
      </c>
      <c r="D64" s="200" t="s">
        <v>562</v>
      </c>
      <c r="E64" s="200" t="s">
        <v>562</v>
      </c>
      <c r="F64" s="206"/>
      <c r="G64" s="233"/>
      <c r="H64" s="232"/>
      <c r="I64" s="192"/>
    </row>
    <row r="66" spans="2:6" ht="15.75">
      <c r="B66" s="728" t="s">
        <v>941</v>
      </c>
      <c r="C66" s="728"/>
      <c r="D66" s="728"/>
      <c r="E66" s="728"/>
      <c r="F66" s="728"/>
    </row>
    <row r="68" spans="1:9" ht="26.25" customHeight="1">
      <c r="A68" s="675" t="s">
        <v>545</v>
      </c>
      <c r="B68" s="677" t="s">
        <v>566</v>
      </c>
      <c r="C68" s="677" t="s">
        <v>573</v>
      </c>
      <c r="D68" s="677" t="s">
        <v>574</v>
      </c>
      <c r="E68" s="677" t="s">
        <v>575</v>
      </c>
      <c r="F68" s="653" t="s">
        <v>570</v>
      </c>
      <c r="G68" s="653"/>
      <c r="H68" s="653"/>
      <c r="I68" s="226"/>
    </row>
    <row r="69" spans="1:9" ht="51" customHeight="1">
      <c r="A69" s="676"/>
      <c r="B69" s="678"/>
      <c r="C69" s="678"/>
      <c r="D69" s="678"/>
      <c r="E69" s="678"/>
      <c r="F69" s="227" t="s">
        <v>33</v>
      </c>
      <c r="G69" s="227" t="s">
        <v>557</v>
      </c>
      <c r="H69" s="227" t="s">
        <v>563</v>
      </c>
      <c r="I69" s="228"/>
    </row>
    <row r="70" spans="1:9" ht="15.75">
      <c r="A70" s="206">
        <v>1</v>
      </c>
      <c r="B70" s="229">
        <v>2</v>
      </c>
      <c r="C70" s="229">
        <v>3</v>
      </c>
      <c r="D70" s="229">
        <v>4</v>
      </c>
      <c r="E70" s="229">
        <v>5</v>
      </c>
      <c r="F70" s="229">
        <v>6</v>
      </c>
      <c r="G70" s="229">
        <v>7</v>
      </c>
      <c r="H70" s="229">
        <v>8</v>
      </c>
      <c r="I70" s="231"/>
    </row>
    <row r="71" spans="1:9" ht="31.5">
      <c r="A71" s="410">
        <v>1</v>
      </c>
      <c r="B71" s="523" t="s">
        <v>854</v>
      </c>
      <c r="C71" s="410">
        <v>3</v>
      </c>
      <c r="D71" s="410">
        <v>12</v>
      </c>
      <c r="E71" s="410">
        <v>57.5</v>
      </c>
      <c r="F71" s="232">
        <f>SUM(G71:H71)</f>
        <v>1333.3</v>
      </c>
      <c r="G71" s="232">
        <v>1333.3</v>
      </c>
      <c r="H71" s="232">
        <v>0</v>
      </c>
      <c r="I71" s="192"/>
    </row>
    <row r="72" spans="1:9" ht="47.25">
      <c r="A72" s="206">
        <v>2</v>
      </c>
      <c r="B72" s="236" t="s">
        <v>942</v>
      </c>
      <c r="C72" s="206"/>
      <c r="D72" s="206"/>
      <c r="E72" s="206"/>
      <c r="F72" s="232">
        <f>G72</f>
        <v>140000</v>
      </c>
      <c r="G72" s="232">
        <v>140000</v>
      </c>
      <c r="H72" s="232"/>
      <c r="I72" s="192"/>
    </row>
    <row r="73" spans="1:9" ht="15.75">
      <c r="A73" s="650" t="s">
        <v>571</v>
      </c>
      <c r="B73" s="652"/>
      <c r="C73" s="200" t="s">
        <v>562</v>
      </c>
      <c r="D73" s="200" t="s">
        <v>562</v>
      </c>
      <c r="E73" s="200" t="s">
        <v>562</v>
      </c>
      <c r="F73" s="206">
        <f>F71+F72</f>
        <v>141333.3</v>
      </c>
      <c r="G73" s="206">
        <f>G71+G72</f>
        <v>141333.3</v>
      </c>
      <c r="H73" s="232"/>
      <c r="I73" s="192"/>
    </row>
    <row r="75" spans="2:9" ht="33" customHeight="1">
      <c r="B75" s="727" t="s">
        <v>576</v>
      </c>
      <c r="C75" s="727"/>
      <c r="D75" s="727"/>
      <c r="E75" s="727"/>
      <c r="F75" s="727"/>
      <c r="G75" s="727"/>
      <c r="H75" s="727"/>
      <c r="I75" s="727"/>
    </row>
    <row r="77" spans="1:9" ht="31.5" customHeight="1">
      <c r="A77" s="671" t="s">
        <v>545</v>
      </c>
      <c r="B77" s="653" t="s">
        <v>577</v>
      </c>
      <c r="C77" s="653"/>
      <c r="D77" s="653"/>
      <c r="E77" s="677" t="s">
        <v>578</v>
      </c>
      <c r="F77" s="653" t="s">
        <v>579</v>
      </c>
      <c r="G77" s="653"/>
      <c r="H77" s="653"/>
      <c r="I77" s="234"/>
    </row>
    <row r="78" spans="1:9" ht="31.5" customHeight="1">
      <c r="A78" s="672"/>
      <c r="B78" s="653"/>
      <c r="C78" s="653"/>
      <c r="D78" s="653"/>
      <c r="E78" s="678"/>
      <c r="F78" s="227" t="s">
        <v>580</v>
      </c>
      <c r="G78" s="227" t="s">
        <v>557</v>
      </c>
      <c r="H78" s="227" t="s">
        <v>563</v>
      </c>
      <c r="I78" s="228"/>
    </row>
    <row r="79" spans="1:9" ht="17.25" customHeight="1">
      <c r="A79" s="235">
        <v>1</v>
      </c>
      <c r="B79" s="726">
        <v>2</v>
      </c>
      <c r="C79" s="726"/>
      <c r="D79" s="726"/>
      <c r="E79" s="200">
        <v>3</v>
      </c>
      <c r="F79" s="200">
        <v>4</v>
      </c>
      <c r="G79" s="200">
        <v>5</v>
      </c>
      <c r="H79" s="200">
        <v>6</v>
      </c>
      <c r="I79" s="237"/>
    </row>
    <row r="80" spans="1:9" s="188" customFormat="1" ht="32.25" customHeight="1">
      <c r="A80" s="238">
        <v>1</v>
      </c>
      <c r="B80" s="723" t="s">
        <v>581</v>
      </c>
      <c r="C80" s="724"/>
      <c r="D80" s="725"/>
      <c r="E80" s="232" t="s">
        <v>562</v>
      </c>
      <c r="F80" s="232">
        <f>G80</f>
        <v>3995952.9200000004</v>
      </c>
      <c r="G80" s="311">
        <f>G81</f>
        <v>3995952.9200000004</v>
      </c>
      <c r="H80" s="232"/>
      <c r="I80" s="192"/>
    </row>
    <row r="81" spans="1:9" ht="34.5" customHeight="1">
      <c r="A81" s="238" t="s">
        <v>582</v>
      </c>
      <c r="B81" s="723" t="s">
        <v>583</v>
      </c>
      <c r="C81" s="724"/>
      <c r="D81" s="725"/>
      <c r="E81" s="239">
        <f>J20</f>
        <v>18163403.97</v>
      </c>
      <c r="F81" s="239">
        <f>SUM(G81:H81)</f>
        <v>3995952.9200000004</v>
      </c>
      <c r="G81" s="239">
        <f>ROUND(E81*22%,2)-0.78+4.65+0.18</f>
        <v>3995952.9200000004</v>
      </c>
      <c r="H81" s="206"/>
      <c r="I81" s="192"/>
    </row>
    <row r="82" spans="1:9" ht="16.5" customHeight="1">
      <c r="A82" s="238" t="s">
        <v>584</v>
      </c>
      <c r="B82" s="723" t="s">
        <v>585</v>
      </c>
      <c r="C82" s="724"/>
      <c r="D82" s="725"/>
      <c r="E82" s="240">
        <v>0</v>
      </c>
      <c r="F82" s="240"/>
      <c r="G82" s="240"/>
      <c r="H82" s="206"/>
      <c r="I82" s="192"/>
    </row>
    <row r="83" spans="1:9" ht="34.5" customHeight="1">
      <c r="A83" s="238" t="s">
        <v>586</v>
      </c>
      <c r="B83" s="723" t="s">
        <v>587</v>
      </c>
      <c r="C83" s="724"/>
      <c r="D83" s="725"/>
      <c r="E83" s="240">
        <v>0</v>
      </c>
      <c r="F83" s="240"/>
      <c r="G83" s="240"/>
      <c r="H83" s="206"/>
      <c r="I83" s="192"/>
    </row>
    <row r="84" spans="1:9" ht="33" customHeight="1">
      <c r="A84" s="238" t="s">
        <v>588</v>
      </c>
      <c r="B84" s="723" t="s">
        <v>589</v>
      </c>
      <c r="C84" s="724"/>
      <c r="D84" s="725"/>
      <c r="E84" s="239">
        <f>SUM(F84:G84)</f>
        <v>0</v>
      </c>
      <c r="F84" s="239">
        <f>SUM(G84:H84)</f>
        <v>0</v>
      </c>
      <c r="G84" s="240"/>
      <c r="H84" s="206"/>
      <c r="I84" s="192"/>
    </row>
    <row r="85" spans="1:9" ht="41.25" customHeight="1">
      <c r="A85" s="238" t="s">
        <v>590</v>
      </c>
      <c r="B85" s="720" t="s">
        <v>591</v>
      </c>
      <c r="C85" s="721"/>
      <c r="D85" s="722"/>
      <c r="E85" s="239">
        <f>E81</f>
        <v>18163403.97</v>
      </c>
      <c r="F85" s="239">
        <f>SUM(G85:H85)</f>
        <v>526738.72</v>
      </c>
      <c r="G85" s="239">
        <f>ROUND(E85*2.9%,2)</f>
        <v>526738.72</v>
      </c>
      <c r="H85" s="206"/>
      <c r="I85" s="192"/>
    </row>
    <row r="86" spans="1:9" ht="34.5" customHeight="1">
      <c r="A86" s="238" t="s">
        <v>592</v>
      </c>
      <c r="B86" s="723" t="s">
        <v>593</v>
      </c>
      <c r="C86" s="724"/>
      <c r="D86" s="725"/>
      <c r="E86" s="240">
        <v>0</v>
      </c>
      <c r="F86" s="240"/>
      <c r="G86" s="240"/>
      <c r="H86" s="206"/>
      <c r="I86" s="192"/>
    </row>
    <row r="87" spans="1:9" ht="33.75" customHeight="1">
      <c r="A87" s="238" t="s">
        <v>594</v>
      </c>
      <c r="B87" s="723" t="s">
        <v>595</v>
      </c>
      <c r="C87" s="724"/>
      <c r="D87" s="725"/>
      <c r="E87" s="239">
        <f>E85</f>
        <v>18163403.97</v>
      </c>
      <c r="F87" s="239">
        <f>SUM(G87:H87)</f>
        <v>36326.81</v>
      </c>
      <c r="G87" s="239">
        <f>ROUND(E87*0.2%,2)</f>
        <v>36326.81</v>
      </c>
      <c r="H87" s="206"/>
      <c r="I87" s="192"/>
    </row>
    <row r="88" spans="1:9" ht="33.75" customHeight="1">
      <c r="A88" s="238" t="s">
        <v>596</v>
      </c>
      <c r="B88" s="723" t="s">
        <v>597</v>
      </c>
      <c r="C88" s="724"/>
      <c r="D88" s="725"/>
      <c r="E88" s="240">
        <v>0</v>
      </c>
      <c r="F88" s="240"/>
      <c r="G88" s="240"/>
      <c r="H88" s="206"/>
      <c r="I88" s="192"/>
    </row>
    <row r="89" spans="1:9" ht="39.75" customHeight="1">
      <c r="A89" s="238" t="s">
        <v>598</v>
      </c>
      <c r="B89" s="723" t="s">
        <v>597</v>
      </c>
      <c r="C89" s="724"/>
      <c r="D89" s="725"/>
      <c r="E89" s="240">
        <v>0</v>
      </c>
      <c r="F89" s="240"/>
      <c r="G89" s="240"/>
      <c r="H89" s="206"/>
      <c r="I89" s="192"/>
    </row>
    <row r="90" spans="1:9" ht="30" customHeight="1">
      <c r="A90" s="238" t="s">
        <v>599</v>
      </c>
      <c r="B90" s="723" t="s">
        <v>600</v>
      </c>
      <c r="C90" s="724"/>
      <c r="D90" s="725"/>
      <c r="E90" s="239">
        <f>E87</f>
        <v>18163403.97</v>
      </c>
      <c r="F90" s="239">
        <f>SUM(G90:H90)</f>
        <v>926333.6</v>
      </c>
      <c r="G90" s="239">
        <f>ROUND(E90*5.1%,2)</f>
        <v>926333.6</v>
      </c>
      <c r="H90" s="206"/>
      <c r="I90" s="192"/>
    </row>
    <row r="91" spans="1:9" ht="30" customHeight="1">
      <c r="A91" s="238"/>
      <c r="B91" s="723" t="s">
        <v>581</v>
      </c>
      <c r="C91" s="724"/>
      <c r="D91" s="725"/>
      <c r="E91" s="232" t="s">
        <v>562</v>
      </c>
      <c r="F91" s="262">
        <f>SUM(F92)</f>
        <v>2256326.75</v>
      </c>
      <c r="G91" s="262">
        <f>SUM(G92)</f>
        <v>2256326.75</v>
      </c>
      <c r="H91" s="262">
        <f>SUM(H92)</f>
        <v>0</v>
      </c>
      <c r="I91" s="192"/>
    </row>
    <row r="92" spans="1:9" ht="30" customHeight="1">
      <c r="A92" s="238"/>
      <c r="B92" s="723" t="s">
        <v>583</v>
      </c>
      <c r="C92" s="724"/>
      <c r="D92" s="725"/>
      <c r="E92" s="262">
        <f>J25</f>
        <v>10116030.688000001</v>
      </c>
      <c r="F92" s="262">
        <f>SUM(G92:H92)</f>
        <v>2256326.75</v>
      </c>
      <c r="G92" s="262">
        <v>2256326.75</v>
      </c>
      <c r="H92" s="262">
        <v>0</v>
      </c>
      <c r="I92" s="192"/>
    </row>
    <row r="93" spans="1:9" ht="30" customHeight="1">
      <c r="A93" s="238"/>
      <c r="B93" s="723" t="s">
        <v>585</v>
      </c>
      <c r="C93" s="724"/>
      <c r="D93" s="725"/>
      <c r="E93" s="206"/>
      <c r="F93" s="206"/>
      <c r="G93" s="410"/>
      <c r="H93" s="232"/>
      <c r="I93" s="192"/>
    </row>
    <row r="94" spans="1:9" ht="30" customHeight="1">
      <c r="A94" s="238"/>
      <c r="B94" s="723" t="s">
        <v>587</v>
      </c>
      <c r="C94" s="724"/>
      <c r="D94" s="725"/>
      <c r="E94" s="206"/>
      <c r="F94" s="206"/>
      <c r="G94" s="524"/>
      <c r="H94" s="355"/>
      <c r="I94" s="192"/>
    </row>
    <row r="95" spans="1:9" ht="30" customHeight="1">
      <c r="A95" s="238"/>
      <c r="B95" s="723" t="s">
        <v>589</v>
      </c>
      <c r="C95" s="724"/>
      <c r="D95" s="725"/>
      <c r="E95" s="232" t="s">
        <v>562</v>
      </c>
      <c r="F95" s="355">
        <f>SUM(F96+F98)</f>
        <v>317935.71</v>
      </c>
      <c r="G95" s="355">
        <f>SUM(G96+G98)</f>
        <v>317935.71</v>
      </c>
      <c r="H95" s="355">
        <f>SUM(H96+H98)</f>
        <v>0</v>
      </c>
      <c r="I95" s="192"/>
    </row>
    <row r="96" spans="1:9" ht="30" customHeight="1">
      <c r="A96" s="238"/>
      <c r="B96" s="720" t="s">
        <v>591</v>
      </c>
      <c r="C96" s="721"/>
      <c r="D96" s="722"/>
      <c r="E96" s="262">
        <f>E92</f>
        <v>10116030.688000001</v>
      </c>
      <c r="F96" s="262">
        <f>SUM(G96:H96)</f>
        <v>297423.65</v>
      </c>
      <c r="G96" s="355">
        <v>297423.65</v>
      </c>
      <c r="H96" s="355">
        <v>0</v>
      </c>
      <c r="I96" s="192"/>
    </row>
    <row r="97" spans="1:9" ht="30" customHeight="1">
      <c r="A97" s="238"/>
      <c r="B97" s="723" t="s">
        <v>593</v>
      </c>
      <c r="C97" s="724"/>
      <c r="D97" s="725"/>
      <c r="E97" s="206"/>
      <c r="F97" s="206"/>
      <c r="G97" s="355"/>
      <c r="H97" s="355"/>
      <c r="I97" s="192"/>
    </row>
    <row r="98" spans="1:9" ht="30" customHeight="1">
      <c r="A98" s="238"/>
      <c r="B98" s="723" t="s">
        <v>595</v>
      </c>
      <c r="C98" s="724"/>
      <c r="D98" s="725"/>
      <c r="E98" s="262">
        <f>E96</f>
        <v>10116030.688000001</v>
      </c>
      <c r="F98" s="262">
        <f>SUM(G98:H98)</f>
        <v>20512.06</v>
      </c>
      <c r="G98" s="355">
        <v>20512.06</v>
      </c>
      <c r="H98" s="355">
        <v>0</v>
      </c>
      <c r="I98" s="192"/>
    </row>
    <row r="99" spans="1:9" ht="30" customHeight="1">
      <c r="A99" s="238"/>
      <c r="B99" s="723" t="s">
        <v>597</v>
      </c>
      <c r="C99" s="724"/>
      <c r="D99" s="725"/>
      <c r="E99" s="206"/>
      <c r="F99" s="206"/>
      <c r="G99" s="355"/>
      <c r="H99" s="355"/>
      <c r="I99" s="192"/>
    </row>
    <row r="100" spans="1:9" ht="30" customHeight="1">
      <c r="A100" s="238"/>
      <c r="B100" s="723" t="s">
        <v>597</v>
      </c>
      <c r="C100" s="724"/>
      <c r="D100" s="725"/>
      <c r="E100" s="206"/>
      <c r="F100" s="206"/>
      <c r="G100" s="355"/>
      <c r="H100" s="355"/>
      <c r="I100" s="192"/>
    </row>
    <row r="101" spans="1:9" ht="30" customHeight="1">
      <c r="A101" s="238"/>
      <c r="B101" s="723" t="s">
        <v>600</v>
      </c>
      <c r="C101" s="724"/>
      <c r="D101" s="725"/>
      <c r="E101" s="262">
        <f>E98</f>
        <v>10116030.688000001</v>
      </c>
      <c r="F101" s="262">
        <f>SUM(G101:H101)</f>
        <v>523057.57</v>
      </c>
      <c r="G101" s="355">
        <v>523057.57</v>
      </c>
      <c r="H101" s="355">
        <v>0</v>
      </c>
      <c r="I101" s="192"/>
    </row>
    <row r="102" spans="1:9" ht="30" customHeight="1">
      <c r="A102" s="238"/>
      <c r="B102" s="558"/>
      <c r="C102" s="559"/>
      <c r="D102" s="560"/>
      <c r="E102" s="239"/>
      <c r="F102" s="239"/>
      <c r="G102" s="239"/>
      <c r="H102" s="206"/>
      <c r="I102" s="192"/>
    </row>
    <row r="103" spans="1:9" ht="30" customHeight="1">
      <c r="A103" s="238"/>
      <c r="B103" s="558"/>
      <c r="C103" s="559"/>
      <c r="D103" s="560"/>
      <c r="E103" s="239"/>
      <c r="F103" s="239"/>
      <c r="G103" s="239"/>
      <c r="H103" s="206"/>
      <c r="I103" s="192"/>
    </row>
    <row r="104" spans="1:9" ht="30" customHeight="1">
      <c r="A104" s="238"/>
      <c r="B104" s="558"/>
      <c r="C104" s="559"/>
      <c r="D104" s="560"/>
      <c r="E104" s="239"/>
      <c r="F104" s="239"/>
      <c r="G104" s="239"/>
      <c r="H104" s="206"/>
      <c r="I104" s="192"/>
    </row>
    <row r="105" spans="1:9" ht="30.75" customHeight="1">
      <c r="A105" s="713" t="s">
        <v>571</v>
      </c>
      <c r="B105" s="713"/>
      <c r="C105" s="713"/>
      <c r="D105" s="713"/>
      <c r="E105" s="240" t="s">
        <v>562</v>
      </c>
      <c r="F105" s="241">
        <f>SUM(F81:F90)-0.01+F92+F95+F101</f>
        <v>8582672.07</v>
      </c>
      <c r="G105" s="241">
        <f>SUM(G81:G90)-0.01+G92+G95+G101</f>
        <v>8582672.07</v>
      </c>
      <c r="H105" s="242">
        <f>H80+H84+H90</f>
        <v>0</v>
      </c>
      <c r="I105" s="192"/>
    </row>
    <row r="106" spans="2:6" ht="16.5" customHeight="1">
      <c r="B106" s="243"/>
      <c r="C106" s="243"/>
      <c r="D106" s="243"/>
      <c r="E106" s="237"/>
      <c r="F106" s="192"/>
    </row>
    <row r="107" spans="2:9" ht="33.75" customHeight="1" hidden="1">
      <c r="B107" s="727" t="s">
        <v>855</v>
      </c>
      <c r="C107" s="727"/>
      <c r="D107" s="727"/>
      <c r="E107" s="727"/>
      <c r="F107" s="727"/>
      <c r="G107" s="727"/>
      <c r="H107" s="727"/>
      <c r="I107" s="727"/>
    </row>
    <row r="108" spans="2:6" ht="16.5" customHeight="1" hidden="1">
      <c r="B108" s="243"/>
      <c r="C108" s="243"/>
      <c r="D108" s="243"/>
      <c r="E108" s="237"/>
      <c r="F108" s="192"/>
    </row>
    <row r="109" spans="1:9" ht="16.5" customHeight="1" hidden="1">
      <c r="A109" s="671" t="s">
        <v>545</v>
      </c>
      <c r="B109" s="653" t="s">
        <v>577</v>
      </c>
      <c r="C109" s="653"/>
      <c r="D109" s="653"/>
      <c r="E109" s="677" t="s">
        <v>578</v>
      </c>
      <c r="F109" s="653" t="s">
        <v>579</v>
      </c>
      <c r="G109" s="653"/>
      <c r="H109" s="653"/>
      <c r="I109" s="234"/>
    </row>
    <row r="110" spans="1:9" ht="16.5" customHeight="1" hidden="1">
      <c r="A110" s="672"/>
      <c r="B110" s="653"/>
      <c r="C110" s="653"/>
      <c r="D110" s="653"/>
      <c r="E110" s="678"/>
      <c r="F110" s="227" t="s">
        <v>580</v>
      </c>
      <c r="G110" s="227" t="s">
        <v>557</v>
      </c>
      <c r="H110" s="227" t="s">
        <v>563</v>
      </c>
      <c r="I110" s="228"/>
    </row>
    <row r="111" spans="1:9" ht="16.5" customHeight="1" hidden="1">
      <c r="A111" s="235">
        <v>1</v>
      </c>
      <c r="B111" s="726">
        <v>2</v>
      </c>
      <c r="C111" s="726"/>
      <c r="D111" s="726"/>
      <c r="E111" s="200">
        <v>3</v>
      </c>
      <c r="F111" s="200">
        <v>4</v>
      </c>
      <c r="G111" s="200">
        <v>5</v>
      </c>
      <c r="H111" s="200">
        <v>6</v>
      </c>
      <c r="I111" s="237"/>
    </row>
    <row r="112" spans="1:9" s="188" customFormat="1" ht="16.5" customHeight="1" hidden="1">
      <c r="A112" s="238">
        <v>1</v>
      </c>
      <c r="B112" s="723" t="s">
        <v>581</v>
      </c>
      <c r="C112" s="724"/>
      <c r="D112" s="725"/>
      <c r="E112" s="232" t="s">
        <v>562</v>
      </c>
      <c r="F112" s="262"/>
      <c r="G112" s="262"/>
      <c r="H112" s="262">
        <f>SUM(H113)</f>
        <v>0</v>
      </c>
      <c r="I112" s="192"/>
    </row>
    <row r="113" spans="1:9" ht="31.5" customHeight="1" hidden="1">
      <c r="A113" s="238" t="s">
        <v>582</v>
      </c>
      <c r="B113" s="723" t="s">
        <v>583</v>
      </c>
      <c r="C113" s="724"/>
      <c r="D113" s="725"/>
      <c r="E113" s="262">
        <f>J52</f>
        <v>0</v>
      </c>
      <c r="F113" s="262"/>
      <c r="G113" s="262"/>
      <c r="H113" s="262">
        <v>0</v>
      </c>
      <c r="I113" s="192"/>
    </row>
    <row r="114" spans="1:9" ht="16.5" customHeight="1" hidden="1">
      <c r="A114" s="238" t="s">
        <v>584</v>
      </c>
      <c r="B114" s="723" t="s">
        <v>585</v>
      </c>
      <c r="C114" s="724"/>
      <c r="D114" s="725"/>
      <c r="E114" s="206"/>
      <c r="F114" s="206"/>
      <c r="G114" s="410"/>
      <c r="H114" s="232"/>
      <c r="I114" s="192"/>
    </row>
    <row r="115" spans="1:9" ht="16.5" customHeight="1" hidden="1">
      <c r="A115" s="238" t="s">
        <v>586</v>
      </c>
      <c r="B115" s="723" t="s">
        <v>587</v>
      </c>
      <c r="C115" s="724"/>
      <c r="D115" s="725"/>
      <c r="E115" s="206"/>
      <c r="F115" s="206"/>
      <c r="G115" s="524"/>
      <c r="H115" s="355"/>
      <c r="I115" s="192"/>
    </row>
    <row r="116" spans="1:9" ht="33" customHeight="1" hidden="1">
      <c r="A116" s="238" t="s">
        <v>588</v>
      </c>
      <c r="B116" s="723" t="s">
        <v>589</v>
      </c>
      <c r="C116" s="724"/>
      <c r="D116" s="725"/>
      <c r="E116" s="232" t="s">
        <v>562</v>
      </c>
      <c r="F116" s="355"/>
      <c r="G116" s="355"/>
      <c r="H116" s="355">
        <f>SUM(H117+H119)</f>
        <v>0</v>
      </c>
      <c r="I116" s="192"/>
    </row>
    <row r="117" spans="1:9" ht="42.75" customHeight="1" hidden="1">
      <c r="A117" s="238" t="s">
        <v>590</v>
      </c>
      <c r="B117" s="720" t="s">
        <v>591</v>
      </c>
      <c r="C117" s="721"/>
      <c r="D117" s="722"/>
      <c r="E117" s="262">
        <f>E113</f>
        <v>0</v>
      </c>
      <c r="F117" s="262"/>
      <c r="G117" s="355"/>
      <c r="H117" s="355">
        <v>0</v>
      </c>
      <c r="I117" s="192"/>
    </row>
    <row r="118" spans="1:9" ht="30" customHeight="1" hidden="1">
      <c r="A118" s="238" t="s">
        <v>592</v>
      </c>
      <c r="B118" s="723" t="s">
        <v>593</v>
      </c>
      <c r="C118" s="724"/>
      <c r="D118" s="725"/>
      <c r="E118" s="206"/>
      <c r="F118" s="206"/>
      <c r="G118" s="355"/>
      <c r="H118" s="355"/>
      <c r="I118" s="192"/>
    </row>
    <row r="119" spans="1:9" ht="30" customHeight="1" hidden="1">
      <c r="A119" s="238" t="s">
        <v>594</v>
      </c>
      <c r="B119" s="723" t="s">
        <v>595</v>
      </c>
      <c r="C119" s="724"/>
      <c r="D119" s="725"/>
      <c r="E119" s="262">
        <f>E117</f>
        <v>0</v>
      </c>
      <c r="F119" s="262"/>
      <c r="G119" s="355"/>
      <c r="H119" s="355">
        <v>0</v>
      </c>
      <c r="I119" s="192"/>
    </row>
    <row r="120" spans="1:9" ht="30" customHeight="1" hidden="1">
      <c r="A120" s="238" t="s">
        <v>596</v>
      </c>
      <c r="B120" s="723" t="s">
        <v>597</v>
      </c>
      <c r="C120" s="724"/>
      <c r="D120" s="725"/>
      <c r="E120" s="206"/>
      <c r="F120" s="206"/>
      <c r="G120" s="355"/>
      <c r="H120" s="355"/>
      <c r="I120" s="192"/>
    </row>
    <row r="121" spans="1:9" ht="30" customHeight="1" hidden="1">
      <c r="A121" s="238" t="s">
        <v>598</v>
      </c>
      <c r="B121" s="723" t="s">
        <v>597</v>
      </c>
      <c r="C121" s="724"/>
      <c r="D121" s="725"/>
      <c r="E121" s="206"/>
      <c r="F121" s="206"/>
      <c r="G121" s="355"/>
      <c r="H121" s="355"/>
      <c r="I121" s="192"/>
    </row>
    <row r="122" spans="1:9" ht="29.25" customHeight="1" hidden="1">
      <c r="A122" s="238" t="s">
        <v>599</v>
      </c>
      <c r="B122" s="723" t="s">
        <v>600</v>
      </c>
      <c r="C122" s="724"/>
      <c r="D122" s="725"/>
      <c r="E122" s="262">
        <f>E119</f>
        <v>0</v>
      </c>
      <c r="F122" s="262"/>
      <c r="G122" s="355"/>
      <c r="H122" s="355">
        <v>0</v>
      </c>
      <c r="I122" s="192"/>
    </row>
    <row r="123" spans="1:9" ht="16.5" customHeight="1" hidden="1">
      <c r="A123" s="713" t="s">
        <v>571</v>
      </c>
      <c r="B123" s="713"/>
      <c r="C123" s="713"/>
      <c r="D123" s="713"/>
      <c r="E123" s="200" t="s">
        <v>562</v>
      </c>
      <c r="F123" s="525">
        <f>F112+F116+F122</f>
        <v>0</v>
      </c>
      <c r="G123" s="525">
        <f>G112+G116+G122</f>
        <v>0</v>
      </c>
      <c r="H123" s="525">
        <f>H112+H116+H122</f>
        <v>0</v>
      </c>
      <c r="I123" s="192"/>
    </row>
    <row r="124" spans="2:6" ht="16.5" customHeight="1">
      <c r="B124" s="243"/>
      <c r="C124" s="243"/>
      <c r="D124" s="243"/>
      <c r="E124" s="237"/>
      <c r="F124" s="192"/>
    </row>
    <row r="125" spans="2:6" ht="16.5" customHeight="1">
      <c r="B125" s="243"/>
      <c r="C125" s="243"/>
      <c r="D125" s="243"/>
      <c r="E125" s="237"/>
      <c r="F125" s="192"/>
    </row>
    <row r="126" spans="1:11" ht="99" customHeight="1">
      <c r="A126" s="714" t="s">
        <v>601</v>
      </c>
      <c r="B126" s="714"/>
      <c r="C126" s="714"/>
      <c r="D126" s="714"/>
      <c r="E126" s="714"/>
      <c r="F126" s="714"/>
      <c r="G126" s="714"/>
      <c r="H126" s="714"/>
      <c r="I126" s="714"/>
      <c r="J126" s="714"/>
      <c r="K126" s="714"/>
    </row>
    <row r="127" spans="2:6" ht="21" customHeight="1">
      <c r="B127" s="715"/>
      <c r="C127" s="715"/>
      <c r="D127" s="715"/>
      <c r="E127" s="715"/>
      <c r="F127" s="715"/>
    </row>
    <row r="128" spans="1:11" s="245" customFormat="1" ht="27" customHeight="1">
      <c r="A128" s="704" t="s">
        <v>602</v>
      </c>
      <c r="B128" s="704"/>
      <c r="C128" s="704"/>
      <c r="D128" s="704"/>
      <c r="E128" s="704"/>
      <c r="F128" s="704"/>
      <c r="G128" s="704"/>
      <c r="H128" s="704"/>
      <c r="I128" s="704"/>
      <c r="J128" s="704"/>
      <c r="K128" s="704"/>
    </row>
    <row r="129" spans="1:11" s="245" customFormat="1" ht="16.5" customHeight="1">
      <c r="A129" s="244"/>
      <c r="B129" s="244"/>
      <c r="C129" s="244"/>
      <c r="D129" s="244"/>
      <c r="E129" s="244"/>
      <c r="F129" s="244"/>
      <c r="G129" s="244"/>
      <c r="H129" s="244"/>
      <c r="I129" s="244"/>
      <c r="J129" s="244"/>
      <c r="K129" s="244"/>
    </row>
    <row r="130" spans="2:31" ht="15.75" customHeight="1">
      <c r="B130" s="193" t="s">
        <v>603</v>
      </c>
      <c r="C130" s="193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</row>
    <row r="131" spans="2:31" ht="15.75" customHeight="1">
      <c r="B131" s="186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2:31" ht="15.75" customHeight="1">
      <c r="B132" s="193" t="s">
        <v>542</v>
      </c>
      <c r="C132" s="193"/>
      <c r="D132" s="193" t="s">
        <v>604</v>
      </c>
      <c r="E132" s="193"/>
      <c r="F132" s="193"/>
      <c r="G132" s="193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2:31" ht="15.75" customHeight="1">
      <c r="B133" s="186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</row>
    <row r="134" spans="1:9" s="245" customFormat="1" ht="15.75" customHeight="1">
      <c r="A134" s="671" t="s">
        <v>545</v>
      </c>
      <c r="B134" s="716" t="s">
        <v>1</v>
      </c>
      <c r="C134" s="716"/>
      <c r="D134" s="716"/>
      <c r="E134" s="716" t="s">
        <v>605</v>
      </c>
      <c r="F134" s="716" t="s">
        <v>606</v>
      </c>
      <c r="G134" s="717" t="s">
        <v>579</v>
      </c>
      <c r="H134" s="718"/>
      <c r="I134" s="719"/>
    </row>
    <row r="135" spans="1:49" s="245" customFormat="1" ht="51" customHeight="1">
      <c r="A135" s="672"/>
      <c r="B135" s="716"/>
      <c r="C135" s="716"/>
      <c r="D135" s="716"/>
      <c r="E135" s="716"/>
      <c r="F135" s="716"/>
      <c r="G135" s="227" t="s">
        <v>607</v>
      </c>
      <c r="H135" s="225" t="s">
        <v>557</v>
      </c>
      <c r="I135" s="227" t="s">
        <v>563</v>
      </c>
      <c r="L135" s="247"/>
      <c r="M135" s="247"/>
      <c r="N135" s="247"/>
      <c r="O135" s="247"/>
      <c r="P135" s="247"/>
      <c r="Q135" s="247"/>
      <c r="R135" s="247"/>
      <c r="S135" s="247"/>
      <c r="T135" s="247"/>
      <c r="U135" s="247"/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47"/>
      <c r="AF135" s="247"/>
      <c r="AG135" s="247"/>
      <c r="AH135" s="247"/>
      <c r="AI135" s="247"/>
      <c r="AJ135" s="247"/>
      <c r="AK135" s="247"/>
      <c r="AL135" s="247"/>
      <c r="AM135" s="247"/>
      <c r="AN135" s="247"/>
      <c r="AO135" s="247"/>
      <c r="AP135" s="247"/>
      <c r="AQ135" s="247"/>
      <c r="AR135" s="247"/>
      <c r="AS135" s="247"/>
      <c r="AT135" s="247"/>
      <c r="AU135" s="247"/>
      <c r="AV135" s="247"/>
      <c r="AW135" s="247"/>
    </row>
    <row r="136" spans="1:49" s="245" customFormat="1" ht="15.75">
      <c r="A136" s="248">
        <v>1</v>
      </c>
      <c r="B136" s="708">
        <v>2</v>
      </c>
      <c r="C136" s="708"/>
      <c r="D136" s="708"/>
      <c r="E136" s="248">
        <v>3</v>
      </c>
      <c r="F136" s="249">
        <v>4</v>
      </c>
      <c r="G136" s="250">
        <v>4</v>
      </c>
      <c r="H136" s="251">
        <v>5</v>
      </c>
      <c r="I136" s="250">
        <v>6</v>
      </c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/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</row>
    <row r="137" spans="1:49" s="245" customFormat="1" ht="32.25" customHeight="1">
      <c r="A137" s="252" t="s">
        <v>608</v>
      </c>
      <c r="B137" s="709" t="s">
        <v>761</v>
      </c>
      <c r="C137" s="709"/>
      <c r="D137" s="709"/>
      <c r="E137" s="253">
        <v>110000</v>
      </c>
      <c r="F137" s="254">
        <v>1</v>
      </c>
      <c r="G137" s="232">
        <v>110000</v>
      </c>
      <c r="H137" s="233">
        <v>110000</v>
      </c>
      <c r="I137" s="232"/>
      <c r="L137" s="212"/>
      <c r="M137" s="212"/>
      <c r="N137" s="212"/>
      <c r="O137" s="212"/>
      <c r="P137" s="212"/>
      <c r="Q137" s="212"/>
      <c r="R137" s="212"/>
      <c r="S137" s="212"/>
      <c r="T137" s="212"/>
      <c r="U137" s="212"/>
      <c r="V137" s="212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7"/>
      <c r="AJ137" s="247"/>
      <c r="AK137" s="247"/>
      <c r="AL137" s="247"/>
      <c r="AM137" s="247"/>
      <c r="AN137" s="247"/>
      <c r="AO137" s="247"/>
      <c r="AP137" s="247"/>
      <c r="AQ137" s="247"/>
      <c r="AR137" s="247"/>
      <c r="AS137" s="247"/>
      <c r="AT137" s="247"/>
      <c r="AU137" s="247"/>
      <c r="AV137" s="247"/>
      <c r="AW137" s="247"/>
    </row>
    <row r="138" spans="1:49" s="245" customFormat="1" ht="30.75" customHeight="1">
      <c r="A138" s="252" t="s">
        <v>588</v>
      </c>
      <c r="B138" s="709"/>
      <c r="C138" s="709"/>
      <c r="D138" s="709"/>
      <c r="E138" s="253"/>
      <c r="F138" s="254"/>
      <c r="G138" s="232"/>
      <c r="H138" s="233"/>
      <c r="I138" s="232"/>
      <c r="L138" s="212"/>
      <c r="M138" s="212"/>
      <c r="N138" s="212"/>
      <c r="O138" s="212"/>
      <c r="P138" s="212"/>
      <c r="Q138" s="212"/>
      <c r="R138" s="212"/>
      <c r="S138" s="212"/>
      <c r="T138" s="212"/>
      <c r="U138" s="212"/>
      <c r="V138" s="212"/>
      <c r="W138" s="247"/>
      <c r="X138" s="247"/>
      <c r="Y138" s="247"/>
      <c r="Z138" s="247"/>
      <c r="AA138" s="247"/>
      <c r="AB138" s="247"/>
      <c r="AC138" s="247"/>
      <c r="AD138" s="247"/>
      <c r="AE138" s="247"/>
      <c r="AF138" s="247"/>
      <c r="AG138" s="247"/>
      <c r="AH138" s="247"/>
      <c r="AI138" s="247"/>
      <c r="AJ138" s="247"/>
      <c r="AK138" s="247"/>
      <c r="AL138" s="247"/>
      <c r="AM138" s="247"/>
      <c r="AN138" s="247"/>
      <c r="AO138" s="247"/>
      <c r="AP138" s="247"/>
      <c r="AQ138" s="247"/>
      <c r="AR138" s="247"/>
      <c r="AS138" s="247"/>
      <c r="AT138" s="247"/>
      <c r="AU138" s="247"/>
      <c r="AV138" s="247"/>
      <c r="AW138" s="247"/>
    </row>
    <row r="139" spans="1:49" s="245" customFormat="1" ht="35.25" customHeight="1">
      <c r="A139" s="252" t="s">
        <v>599</v>
      </c>
      <c r="B139" s="709"/>
      <c r="C139" s="709"/>
      <c r="D139" s="709"/>
      <c r="E139" s="253"/>
      <c r="F139" s="254"/>
      <c r="G139" s="232"/>
      <c r="H139" s="233"/>
      <c r="I139" s="232"/>
      <c r="L139" s="212"/>
      <c r="M139" s="212"/>
      <c r="N139" s="212"/>
      <c r="O139" s="212"/>
      <c r="P139" s="212"/>
      <c r="Q139" s="212"/>
      <c r="R139" s="212"/>
      <c r="S139" s="212"/>
      <c r="T139" s="212"/>
      <c r="U139" s="212"/>
      <c r="V139" s="212"/>
      <c r="W139" s="247"/>
      <c r="X139" s="247"/>
      <c r="Y139" s="247"/>
      <c r="Z139" s="247"/>
      <c r="AA139" s="247"/>
      <c r="AB139" s="247"/>
      <c r="AC139" s="247"/>
      <c r="AD139" s="247"/>
      <c r="AE139" s="247"/>
      <c r="AF139" s="247"/>
      <c r="AG139" s="247"/>
      <c r="AH139" s="247"/>
      <c r="AI139" s="247"/>
      <c r="AJ139" s="247"/>
      <c r="AK139" s="247"/>
      <c r="AL139" s="247"/>
      <c r="AM139" s="247"/>
      <c r="AN139" s="247"/>
      <c r="AO139" s="247"/>
      <c r="AP139" s="247"/>
      <c r="AQ139" s="247"/>
      <c r="AR139" s="247"/>
      <c r="AS139" s="247"/>
      <c r="AT139" s="247"/>
      <c r="AU139" s="247"/>
      <c r="AV139" s="247"/>
      <c r="AW139" s="247"/>
    </row>
    <row r="140" spans="1:49" s="244" customFormat="1" ht="15.75">
      <c r="A140" s="710" t="s">
        <v>561</v>
      </c>
      <c r="B140" s="711"/>
      <c r="C140" s="711"/>
      <c r="D140" s="712"/>
      <c r="E140" s="218" t="s">
        <v>562</v>
      </c>
      <c r="F140" s="341" t="s">
        <v>562</v>
      </c>
      <c r="G140" s="315">
        <f>SUM(G137:G139)</f>
        <v>110000</v>
      </c>
      <c r="H140" s="405">
        <f>SUM(H137:H139)</f>
        <v>110000</v>
      </c>
      <c r="I140" s="406"/>
      <c r="L140" s="407"/>
      <c r="M140" s="407"/>
      <c r="N140" s="407"/>
      <c r="O140" s="407"/>
      <c r="P140" s="407"/>
      <c r="Q140" s="407"/>
      <c r="R140" s="407"/>
      <c r="S140" s="407"/>
      <c r="T140" s="407"/>
      <c r="U140" s="407"/>
      <c r="V140" s="407"/>
      <c r="W140" s="408"/>
      <c r="X140" s="408"/>
      <c r="Y140" s="408"/>
      <c r="Z140" s="408"/>
      <c r="AA140" s="408"/>
      <c r="AB140" s="408"/>
      <c r="AC140" s="408"/>
      <c r="AD140" s="408"/>
      <c r="AE140" s="408"/>
      <c r="AF140" s="408"/>
      <c r="AG140" s="408"/>
      <c r="AH140" s="408"/>
      <c r="AI140" s="408"/>
      <c r="AJ140" s="408"/>
      <c r="AK140" s="408"/>
      <c r="AL140" s="408"/>
      <c r="AM140" s="408"/>
      <c r="AN140" s="408"/>
      <c r="AO140" s="408"/>
      <c r="AP140" s="408"/>
      <c r="AQ140" s="408"/>
      <c r="AR140" s="408"/>
      <c r="AS140" s="408"/>
      <c r="AT140" s="408"/>
      <c r="AU140" s="408"/>
      <c r="AV140" s="408"/>
      <c r="AW140" s="408"/>
    </row>
    <row r="141" spans="6:49" s="245" customFormat="1" ht="15.75">
      <c r="F141" s="257"/>
      <c r="G141" s="257"/>
      <c r="H141" s="257"/>
      <c r="I141" s="257"/>
      <c r="J141" s="257"/>
      <c r="K141" s="257"/>
      <c r="L141" s="257"/>
      <c r="M141" s="257"/>
      <c r="N141" s="257"/>
      <c r="O141" s="257"/>
      <c r="P141" s="257"/>
      <c r="Q141" s="257"/>
      <c r="R141" s="257"/>
      <c r="S141" s="257"/>
      <c r="T141" s="257"/>
      <c r="U141" s="257"/>
      <c r="V141" s="257"/>
      <c r="W141" s="257"/>
      <c r="X141" s="257"/>
      <c r="Y141" s="257"/>
      <c r="Z141" s="257"/>
      <c r="AA141" s="257"/>
      <c r="AB141" s="257"/>
      <c r="AC141" s="257"/>
      <c r="AD141" s="257"/>
      <c r="AE141" s="257"/>
      <c r="AF141" s="257"/>
      <c r="AG141" s="257"/>
      <c r="AH141" s="257"/>
      <c r="AI141" s="257"/>
      <c r="AJ141" s="257"/>
      <c r="AK141" s="257"/>
      <c r="AL141" s="257"/>
      <c r="AM141" s="257"/>
      <c r="AN141" s="257"/>
      <c r="AO141" s="257"/>
      <c r="AP141" s="257"/>
      <c r="AQ141" s="257"/>
      <c r="AR141" s="257"/>
      <c r="AS141" s="257"/>
      <c r="AT141" s="257"/>
      <c r="AU141" s="257"/>
      <c r="AV141" s="257"/>
      <c r="AW141" s="257"/>
    </row>
    <row r="142" spans="1:49" s="245" customFormat="1" ht="69" customHeight="1">
      <c r="A142" s="670" t="s">
        <v>609</v>
      </c>
      <c r="B142" s="670"/>
      <c r="C142" s="670"/>
      <c r="D142" s="670"/>
      <c r="E142" s="670"/>
      <c r="F142" s="670"/>
      <c r="G142" s="670"/>
      <c r="H142" s="670"/>
      <c r="I142" s="670"/>
      <c r="J142" s="670"/>
      <c r="K142" s="670"/>
      <c r="L142" s="257"/>
      <c r="M142" s="257"/>
      <c r="N142" s="257"/>
      <c r="O142" s="257"/>
      <c r="P142" s="257"/>
      <c r="Q142" s="257"/>
      <c r="R142" s="257"/>
      <c r="S142" s="257"/>
      <c r="T142" s="257"/>
      <c r="U142" s="257"/>
      <c r="V142" s="257"/>
      <c r="W142" s="257"/>
      <c r="X142" s="257"/>
      <c r="Y142" s="257"/>
      <c r="Z142" s="257"/>
      <c r="AA142" s="257"/>
      <c r="AB142" s="257"/>
      <c r="AC142" s="257"/>
      <c r="AD142" s="257"/>
      <c r="AE142" s="257"/>
      <c r="AF142" s="257"/>
      <c r="AG142" s="257"/>
      <c r="AH142" s="257"/>
      <c r="AI142" s="257"/>
      <c r="AJ142" s="257"/>
      <c r="AK142" s="257"/>
      <c r="AL142" s="257"/>
      <c r="AM142" s="257"/>
      <c r="AN142" s="257"/>
      <c r="AO142" s="257"/>
      <c r="AP142" s="257"/>
      <c r="AQ142" s="257"/>
      <c r="AR142" s="257"/>
      <c r="AS142" s="257"/>
      <c r="AT142" s="257"/>
      <c r="AU142" s="257"/>
      <c r="AV142" s="257"/>
      <c r="AW142" s="257"/>
    </row>
    <row r="143" s="245" customFormat="1" ht="15.75"/>
    <row r="144" spans="1:11" ht="15.75" customHeight="1">
      <c r="A144" s="704" t="s">
        <v>610</v>
      </c>
      <c r="B144" s="704"/>
      <c r="C144" s="704"/>
      <c r="D144" s="704"/>
      <c r="E144" s="704"/>
      <c r="F144" s="704"/>
      <c r="G144" s="704"/>
      <c r="H144" s="704"/>
      <c r="I144" s="704"/>
      <c r="J144" s="704"/>
      <c r="K144" s="704"/>
    </row>
    <row r="145" spans="1:11" ht="15.75" customHeight="1">
      <c r="A145" s="244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</row>
    <row r="146" spans="2:31" ht="15.75" customHeight="1">
      <c r="B146" s="193" t="s">
        <v>611</v>
      </c>
      <c r="C146" s="193"/>
      <c r="K146" s="192"/>
      <c r="L146" s="192"/>
      <c r="M146" s="192"/>
      <c r="N146" s="192"/>
      <c r="O146" s="192"/>
      <c r="P146" s="192"/>
      <c r="Q146" s="192"/>
      <c r="R146" s="192"/>
      <c r="S146" s="192"/>
      <c r="T146" s="192"/>
      <c r="U146" s="192"/>
      <c r="V146" s="192"/>
      <c r="W146" s="192"/>
      <c r="X146" s="192"/>
      <c r="Y146" s="192"/>
      <c r="Z146" s="192"/>
      <c r="AA146" s="192"/>
      <c r="AB146" s="192"/>
      <c r="AC146" s="192"/>
      <c r="AD146" s="192"/>
      <c r="AE146" s="192"/>
    </row>
    <row r="147" spans="2:31" ht="15.75" customHeight="1">
      <c r="B147" s="186"/>
      <c r="K147" s="192"/>
      <c r="L147" s="192"/>
      <c r="M147" s="192"/>
      <c r="N147" s="192"/>
      <c r="O147" s="192"/>
      <c r="P147" s="192"/>
      <c r="Q147" s="192"/>
      <c r="R147" s="192"/>
      <c r="S147" s="192"/>
      <c r="T147" s="192"/>
      <c r="U147" s="192"/>
      <c r="V147" s="192"/>
      <c r="W147" s="192"/>
      <c r="X147" s="192"/>
      <c r="Y147" s="192"/>
      <c r="Z147" s="192"/>
      <c r="AA147" s="192"/>
      <c r="AB147" s="192"/>
      <c r="AC147" s="192"/>
      <c r="AD147" s="192"/>
      <c r="AE147" s="192"/>
    </row>
    <row r="148" spans="2:31" ht="15.75" customHeight="1">
      <c r="B148" s="193" t="s">
        <v>542</v>
      </c>
      <c r="C148" s="193"/>
      <c r="D148" s="193" t="s">
        <v>604</v>
      </c>
      <c r="E148" s="193"/>
      <c r="F148" s="193"/>
      <c r="G148" s="193"/>
      <c r="K148" s="192"/>
      <c r="L148" s="192"/>
      <c r="M148" s="192"/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  <c r="AB148" s="192"/>
      <c r="AC148" s="192"/>
      <c r="AD148" s="192"/>
      <c r="AE148" s="192"/>
    </row>
    <row r="149" spans="1:4" ht="15.75" customHeight="1">
      <c r="A149" s="194"/>
      <c r="B149" s="194"/>
      <c r="C149" s="194"/>
      <c r="D149" s="194"/>
    </row>
    <row r="150" spans="1:8" ht="15.75" customHeight="1">
      <c r="A150" s="671" t="s">
        <v>545</v>
      </c>
      <c r="B150" s="653" t="s">
        <v>612</v>
      </c>
      <c r="C150" s="653"/>
      <c r="D150" s="677" t="s">
        <v>613</v>
      </c>
      <c r="E150" s="677" t="s">
        <v>614</v>
      </c>
      <c r="F150" s="705" t="s">
        <v>579</v>
      </c>
      <c r="G150" s="706"/>
      <c r="H150" s="707"/>
    </row>
    <row r="151" spans="1:8" ht="51.75" customHeight="1">
      <c r="A151" s="672"/>
      <c r="B151" s="653"/>
      <c r="C151" s="653"/>
      <c r="D151" s="678"/>
      <c r="E151" s="678"/>
      <c r="F151" s="258" t="s">
        <v>615</v>
      </c>
      <c r="G151" s="225" t="s">
        <v>557</v>
      </c>
      <c r="H151" s="227" t="s">
        <v>563</v>
      </c>
    </row>
    <row r="152" spans="1:8" ht="15.75">
      <c r="A152" s="259">
        <v>1</v>
      </c>
      <c r="B152" s="700">
        <v>2</v>
      </c>
      <c r="C152" s="700"/>
      <c r="D152" s="259">
        <v>3</v>
      </c>
      <c r="E152" s="259">
        <v>4</v>
      </c>
      <c r="F152" s="259">
        <v>5</v>
      </c>
      <c r="G152" s="260">
        <v>6</v>
      </c>
      <c r="H152" s="259">
        <v>7</v>
      </c>
    </row>
    <row r="153" spans="1:8" ht="15.75">
      <c r="A153" s="200">
        <v>1</v>
      </c>
      <c r="B153" s="701" t="s">
        <v>616</v>
      </c>
      <c r="C153" s="701"/>
      <c r="D153" s="261">
        <v>197314200</v>
      </c>
      <c r="E153" s="261">
        <v>1.5</v>
      </c>
      <c r="F153" s="262"/>
      <c r="G153" s="233"/>
      <c r="H153" s="262">
        <f>D153*E153%</f>
        <v>2959713</v>
      </c>
    </row>
    <row r="154" spans="1:8" ht="15.75">
      <c r="A154" s="200">
        <v>2</v>
      </c>
      <c r="B154" s="701" t="s">
        <v>949</v>
      </c>
      <c r="C154" s="701"/>
      <c r="D154" s="263"/>
      <c r="E154" s="263"/>
      <c r="F154" s="232"/>
      <c r="G154" s="233"/>
      <c r="H154" s="262">
        <v>3750</v>
      </c>
    </row>
    <row r="155" spans="1:8" ht="33.75" customHeight="1">
      <c r="A155" s="200">
        <v>3</v>
      </c>
      <c r="B155" s="702" t="s">
        <v>618</v>
      </c>
      <c r="C155" s="702"/>
      <c r="D155" s="206"/>
      <c r="E155" s="206"/>
      <c r="F155" s="206"/>
      <c r="G155" s="233"/>
      <c r="H155" s="262"/>
    </row>
    <row r="156" spans="1:8" ht="15.75">
      <c r="A156" s="200">
        <v>4</v>
      </c>
      <c r="B156" s="701" t="s">
        <v>616</v>
      </c>
      <c r="C156" s="701"/>
      <c r="D156" s="263">
        <v>79280149.9</v>
      </c>
      <c r="E156" s="263">
        <v>1.5</v>
      </c>
      <c r="F156" s="355"/>
      <c r="G156" s="526">
        <v>0</v>
      </c>
      <c r="H156" s="355">
        <v>1082174</v>
      </c>
    </row>
    <row r="157" spans="1:8" ht="15.75">
      <c r="A157" s="200">
        <v>5</v>
      </c>
      <c r="B157" s="701"/>
      <c r="C157" s="701"/>
      <c r="D157" s="206"/>
      <c r="E157" s="264"/>
      <c r="F157" s="206"/>
      <c r="G157" s="233"/>
      <c r="H157" s="262"/>
    </row>
    <row r="158" spans="1:8" ht="15.75">
      <c r="A158" s="684" t="s">
        <v>561</v>
      </c>
      <c r="B158" s="703"/>
      <c r="C158" s="685"/>
      <c r="D158" s="265">
        <f>SUM(D153:D157)</f>
        <v>276594349.9</v>
      </c>
      <c r="E158" s="266" t="s">
        <v>562</v>
      </c>
      <c r="F158" s="356">
        <f>F156+F153</f>
        <v>0</v>
      </c>
      <c r="G158" s="233"/>
      <c r="H158" s="267">
        <f>SUM(H153:H157)</f>
        <v>4045637</v>
      </c>
    </row>
    <row r="159" spans="1:7" ht="15.75">
      <c r="A159" s="192"/>
      <c r="B159" s="192"/>
      <c r="C159" s="192"/>
      <c r="D159" s="192"/>
      <c r="E159" s="192"/>
      <c r="F159" s="192"/>
      <c r="G159" s="192"/>
    </row>
    <row r="160" spans="1:11" ht="15.75" hidden="1">
      <c r="A160" s="704" t="s">
        <v>856</v>
      </c>
      <c r="B160" s="704"/>
      <c r="C160" s="704"/>
      <c r="D160" s="704"/>
      <c r="E160" s="704"/>
      <c r="F160" s="704"/>
      <c r="G160" s="704"/>
      <c r="H160" s="704"/>
      <c r="I160" s="704"/>
      <c r="J160" s="704"/>
      <c r="K160" s="704"/>
    </row>
    <row r="161" spans="1:11" ht="15.75" hidden="1">
      <c r="A161" s="244"/>
      <c r="B161" s="244"/>
      <c r="C161" s="244"/>
      <c r="D161" s="244"/>
      <c r="E161" s="244"/>
      <c r="F161" s="244"/>
      <c r="G161" s="244"/>
      <c r="H161" s="244"/>
      <c r="I161" s="244"/>
      <c r="J161" s="244"/>
      <c r="K161" s="244"/>
    </row>
    <row r="162" spans="2:31" ht="15.75" hidden="1">
      <c r="B162" s="193" t="s">
        <v>611</v>
      </c>
      <c r="C162" s="193"/>
      <c r="K162" s="192"/>
      <c r="L162" s="192"/>
      <c r="M162" s="192"/>
      <c r="N162" s="192"/>
      <c r="O162" s="192"/>
      <c r="P162" s="192"/>
      <c r="Q162" s="192"/>
      <c r="R162" s="192"/>
      <c r="S162" s="192"/>
      <c r="T162" s="192"/>
      <c r="U162" s="192"/>
      <c r="V162" s="192"/>
      <c r="W162" s="192"/>
      <c r="X162" s="192"/>
      <c r="Y162" s="192"/>
      <c r="Z162" s="192"/>
      <c r="AA162" s="192"/>
      <c r="AB162" s="192"/>
      <c r="AC162" s="192"/>
      <c r="AD162" s="192"/>
      <c r="AE162" s="192"/>
    </row>
    <row r="163" spans="2:31" ht="15.75" hidden="1">
      <c r="B163" s="186"/>
      <c r="K163" s="192"/>
      <c r="L163" s="192"/>
      <c r="M163" s="192"/>
      <c r="N163" s="192"/>
      <c r="O163" s="192"/>
      <c r="P163" s="192"/>
      <c r="Q163" s="192"/>
      <c r="R163" s="192"/>
      <c r="S163" s="192"/>
      <c r="T163" s="192"/>
      <c r="U163" s="192"/>
      <c r="V163" s="192"/>
      <c r="W163" s="192"/>
      <c r="X163" s="192"/>
      <c r="Y163" s="192"/>
      <c r="Z163" s="192"/>
      <c r="AA163" s="192"/>
      <c r="AB163" s="192"/>
      <c r="AC163" s="192"/>
      <c r="AD163" s="192"/>
      <c r="AE163" s="192"/>
    </row>
    <row r="164" spans="2:31" ht="15.75" hidden="1">
      <c r="B164" s="193" t="s">
        <v>542</v>
      </c>
      <c r="C164" s="193"/>
      <c r="D164" s="193" t="s">
        <v>604</v>
      </c>
      <c r="E164" s="193"/>
      <c r="F164" s="193"/>
      <c r="G164" s="193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</row>
    <row r="165" spans="1:4" ht="15.75" hidden="1">
      <c r="A165" s="194"/>
      <c r="B165" s="194"/>
      <c r="C165" s="194"/>
      <c r="D165" s="194"/>
    </row>
    <row r="166" spans="1:8" ht="15.75" hidden="1">
      <c r="A166" s="671" t="s">
        <v>545</v>
      </c>
      <c r="B166" s="653" t="s">
        <v>612</v>
      </c>
      <c r="C166" s="653"/>
      <c r="D166" s="677" t="s">
        <v>613</v>
      </c>
      <c r="E166" s="677" t="s">
        <v>614</v>
      </c>
      <c r="F166" s="705" t="s">
        <v>579</v>
      </c>
      <c r="G166" s="706"/>
      <c r="H166" s="707"/>
    </row>
    <row r="167" spans="1:8" ht="63.75" hidden="1">
      <c r="A167" s="672"/>
      <c r="B167" s="653"/>
      <c r="C167" s="653"/>
      <c r="D167" s="678"/>
      <c r="E167" s="678"/>
      <c r="F167" s="258" t="s">
        <v>615</v>
      </c>
      <c r="G167" s="225" t="s">
        <v>557</v>
      </c>
      <c r="H167" s="227" t="s">
        <v>563</v>
      </c>
    </row>
    <row r="168" spans="1:8" ht="15.75" hidden="1">
      <c r="A168" s="259">
        <v>1</v>
      </c>
      <c r="B168" s="700">
        <v>2</v>
      </c>
      <c r="C168" s="700"/>
      <c r="D168" s="259">
        <v>3</v>
      </c>
      <c r="E168" s="259">
        <v>4</v>
      </c>
      <c r="F168" s="259">
        <v>5</v>
      </c>
      <c r="G168" s="260">
        <v>6</v>
      </c>
      <c r="H168" s="259">
        <v>7</v>
      </c>
    </row>
    <row r="169" spans="1:8" ht="15.75" hidden="1">
      <c r="A169" s="200">
        <v>1</v>
      </c>
      <c r="B169" s="701" t="s">
        <v>616</v>
      </c>
      <c r="C169" s="701"/>
      <c r="D169" s="263">
        <v>79280149.9</v>
      </c>
      <c r="E169" s="263">
        <v>1.5</v>
      </c>
      <c r="F169" s="355">
        <v>1189202</v>
      </c>
      <c r="G169" s="526">
        <v>0</v>
      </c>
      <c r="H169" s="355"/>
    </row>
    <row r="170" spans="1:8" ht="15.75" hidden="1">
      <c r="A170" s="200">
        <v>2</v>
      </c>
      <c r="B170" s="701" t="s">
        <v>617</v>
      </c>
      <c r="C170" s="701"/>
      <c r="D170" s="263" t="s">
        <v>754</v>
      </c>
      <c r="E170" s="263" t="s">
        <v>754</v>
      </c>
      <c r="F170" s="265" t="s">
        <v>754</v>
      </c>
      <c r="G170" s="526">
        <v>0</v>
      </c>
      <c r="H170" s="355">
        <v>0</v>
      </c>
    </row>
    <row r="171" spans="1:8" ht="15.75" hidden="1">
      <c r="A171" s="200">
        <v>3</v>
      </c>
      <c r="B171" s="702" t="s">
        <v>618</v>
      </c>
      <c r="C171" s="702"/>
      <c r="D171" s="200" t="s">
        <v>754</v>
      </c>
      <c r="E171" s="200" t="s">
        <v>754</v>
      </c>
      <c r="F171" s="265" t="s">
        <v>754</v>
      </c>
      <c r="G171" s="526">
        <v>0</v>
      </c>
      <c r="H171" s="355">
        <v>0</v>
      </c>
    </row>
    <row r="172" spans="1:8" ht="16.5" hidden="1">
      <c r="A172" s="684" t="s">
        <v>561</v>
      </c>
      <c r="B172" s="703"/>
      <c r="C172" s="685"/>
      <c r="D172" s="275"/>
      <c r="E172" s="266" t="s">
        <v>562</v>
      </c>
      <c r="F172" s="356"/>
      <c r="G172" s="527">
        <v>0</v>
      </c>
      <c r="H172" s="522">
        <f>SUM(H169)</f>
        <v>0</v>
      </c>
    </row>
    <row r="173" spans="1:7" ht="15.75">
      <c r="A173" s="192"/>
      <c r="B173" s="192"/>
      <c r="C173" s="192"/>
      <c r="D173" s="192"/>
      <c r="E173" s="192"/>
      <c r="F173" s="192"/>
      <c r="G173" s="192"/>
    </row>
    <row r="174" spans="1:11" ht="49.5" customHeight="1">
      <c r="A174" s="683" t="s">
        <v>619</v>
      </c>
      <c r="B174" s="683"/>
      <c r="C174" s="683"/>
      <c r="D174" s="683"/>
      <c r="E174" s="683"/>
      <c r="F174" s="683"/>
      <c r="G174" s="683"/>
      <c r="H174" s="683"/>
      <c r="I174" s="683"/>
      <c r="J174" s="683"/>
      <c r="K174" s="683"/>
    </row>
    <row r="175" spans="1:7" ht="15.75">
      <c r="A175" s="192"/>
      <c r="B175" s="192"/>
      <c r="C175" s="192"/>
      <c r="D175" s="192"/>
      <c r="E175" s="192"/>
      <c r="F175" s="192"/>
      <c r="G175" s="192"/>
    </row>
    <row r="176" spans="1:11" ht="15.75">
      <c r="A176" s="696" t="s">
        <v>620</v>
      </c>
      <c r="B176" s="696"/>
      <c r="C176" s="696"/>
      <c r="D176" s="696"/>
      <c r="E176" s="696"/>
      <c r="F176" s="696"/>
      <c r="G176" s="696"/>
      <c r="H176" s="696"/>
      <c r="I176" s="696"/>
      <c r="J176" s="696"/>
      <c r="K176" s="696"/>
    </row>
    <row r="177" spans="1:7" ht="17.25" customHeight="1">
      <c r="A177" s="699" t="s">
        <v>621</v>
      </c>
      <c r="B177" s="699"/>
      <c r="C177" s="699"/>
      <c r="D177" s="699"/>
      <c r="E177" s="699"/>
      <c r="F177" s="192"/>
      <c r="G177" s="192"/>
    </row>
    <row r="178" spans="2:31" ht="15.75" customHeight="1">
      <c r="B178" s="193" t="s">
        <v>622</v>
      </c>
      <c r="C178" s="193"/>
      <c r="K178" s="192"/>
      <c r="L178" s="192"/>
      <c r="M178" s="192"/>
      <c r="N178" s="192"/>
      <c r="O178" s="192"/>
      <c r="P178" s="192"/>
      <c r="Q178" s="192"/>
      <c r="R178" s="192"/>
      <c r="S178" s="192"/>
      <c r="T178" s="192"/>
      <c r="U178" s="192"/>
      <c r="V178" s="192"/>
      <c r="W178" s="192"/>
      <c r="X178" s="192"/>
      <c r="Y178" s="192"/>
      <c r="Z178" s="192"/>
      <c r="AA178" s="192"/>
      <c r="AB178" s="192"/>
      <c r="AC178" s="192"/>
      <c r="AD178" s="192"/>
      <c r="AE178" s="192"/>
    </row>
    <row r="179" spans="2:31" ht="15.75" customHeight="1">
      <c r="B179" s="186"/>
      <c r="K179" s="192"/>
      <c r="L179" s="192"/>
      <c r="M179" s="192"/>
      <c r="N179" s="192"/>
      <c r="O179" s="192"/>
      <c r="P179" s="192"/>
      <c r="Q179" s="192"/>
      <c r="R179" s="192"/>
      <c r="S179" s="192"/>
      <c r="T179" s="192"/>
      <c r="U179" s="192"/>
      <c r="V179" s="192"/>
      <c r="W179" s="192"/>
      <c r="X179" s="192"/>
      <c r="Y179" s="192"/>
      <c r="Z179" s="192"/>
      <c r="AA179" s="192"/>
      <c r="AB179" s="192"/>
      <c r="AC179" s="192"/>
      <c r="AD179" s="192"/>
      <c r="AE179" s="192"/>
    </row>
    <row r="180" spans="2:31" ht="15.75" customHeight="1">
      <c r="B180" s="193" t="s">
        <v>542</v>
      </c>
      <c r="C180" s="193"/>
      <c r="D180" s="193" t="s">
        <v>604</v>
      </c>
      <c r="E180" s="193"/>
      <c r="F180" s="193"/>
      <c r="G180" s="193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</row>
    <row r="181" spans="1:7" ht="17.25" customHeight="1">
      <c r="A181" s="268"/>
      <c r="B181" s="268"/>
      <c r="C181" s="268"/>
      <c r="D181" s="268"/>
      <c r="E181" s="268"/>
      <c r="F181" s="192"/>
      <c r="G181" s="192"/>
    </row>
    <row r="182" spans="1:8" ht="15.75">
      <c r="A182" s="671" t="s">
        <v>545</v>
      </c>
      <c r="B182" s="686" t="s">
        <v>1</v>
      </c>
      <c r="C182" s="686" t="s">
        <v>605</v>
      </c>
      <c r="D182" s="686" t="s">
        <v>606</v>
      </c>
      <c r="E182" s="667" t="s">
        <v>579</v>
      </c>
      <c r="F182" s="687"/>
      <c r="G182" s="668"/>
      <c r="H182" s="257"/>
    </row>
    <row r="183" spans="1:50" ht="48.75" customHeight="1">
      <c r="A183" s="672"/>
      <c r="B183" s="686"/>
      <c r="C183" s="686"/>
      <c r="D183" s="686"/>
      <c r="E183" s="270" t="s">
        <v>607</v>
      </c>
      <c r="F183" s="271" t="s">
        <v>557</v>
      </c>
      <c r="G183" s="236" t="s">
        <v>563</v>
      </c>
      <c r="H183" s="272"/>
      <c r="I183" s="273"/>
      <c r="J183" s="247"/>
      <c r="K183" s="247"/>
      <c r="L183" s="247"/>
      <c r="M183" s="247"/>
      <c r="N183" s="247"/>
      <c r="O183" s="247"/>
      <c r="P183" s="247"/>
      <c r="Q183" s="247"/>
      <c r="R183" s="247"/>
      <c r="S183" s="247"/>
      <c r="T183" s="247"/>
      <c r="U183" s="247"/>
      <c r="V183" s="247"/>
      <c r="W183" s="247"/>
      <c r="X183" s="247"/>
      <c r="Y183" s="247"/>
      <c r="Z183" s="247"/>
      <c r="AA183" s="247"/>
      <c r="AB183" s="247"/>
      <c r="AC183" s="247"/>
      <c r="AD183" s="247"/>
      <c r="AE183" s="247"/>
      <c r="AF183" s="247"/>
      <c r="AG183" s="247"/>
      <c r="AH183" s="247"/>
      <c r="AI183" s="247"/>
      <c r="AJ183" s="247"/>
      <c r="AK183" s="247"/>
      <c r="AL183" s="247"/>
      <c r="AM183" s="247"/>
      <c r="AN183" s="247"/>
      <c r="AO183" s="247"/>
      <c r="AP183" s="247"/>
      <c r="AQ183" s="247"/>
      <c r="AR183" s="247"/>
      <c r="AS183" s="247"/>
      <c r="AT183" s="247"/>
      <c r="AU183" s="247"/>
      <c r="AV183" s="247"/>
      <c r="AW183" s="247"/>
      <c r="AX183" s="192"/>
    </row>
    <row r="184" spans="1:50" ht="14.25" customHeight="1">
      <c r="A184" s="229">
        <v>1</v>
      </c>
      <c r="B184" s="274">
        <v>2</v>
      </c>
      <c r="C184" s="274">
        <v>3</v>
      </c>
      <c r="D184" s="274">
        <v>4</v>
      </c>
      <c r="E184" s="274">
        <v>5</v>
      </c>
      <c r="F184" s="230">
        <v>6</v>
      </c>
      <c r="G184" s="229">
        <v>7</v>
      </c>
      <c r="H184" s="231"/>
      <c r="I184" s="205"/>
      <c r="J184" s="205"/>
      <c r="K184" s="205"/>
      <c r="L184" s="205"/>
      <c r="M184" s="205"/>
      <c r="N184" s="205"/>
      <c r="O184" s="205"/>
      <c r="P184" s="205"/>
      <c r="Q184" s="205"/>
      <c r="R184" s="205"/>
      <c r="S184" s="205"/>
      <c r="T184" s="205"/>
      <c r="U184" s="205"/>
      <c r="V184" s="205"/>
      <c r="W184" s="205"/>
      <c r="X184" s="205"/>
      <c r="Y184" s="205"/>
      <c r="Z184" s="205"/>
      <c r="AA184" s="205"/>
      <c r="AB184" s="205"/>
      <c r="AC184" s="205"/>
      <c r="AD184" s="205"/>
      <c r="AE184" s="205"/>
      <c r="AF184" s="205"/>
      <c r="AG184" s="205"/>
      <c r="AH184" s="205"/>
      <c r="AI184" s="205"/>
      <c r="AJ184" s="205"/>
      <c r="AK184" s="205"/>
      <c r="AL184" s="205"/>
      <c r="AM184" s="205"/>
      <c r="AN184" s="205"/>
      <c r="AO184" s="205"/>
      <c r="AP184" s="205"/>
      <c r="AQ184" s="205"/>
      <c r="AR184" s="205"/>
      <c r="AS184" s="205"/>
      <c r="AT184" s="205"/>
      <c r="AU184" s="205"/>
      <c r="AV184" s="205"/>
      <c r="AW184" s="205"/>
      <c r="AX184" s="192"/>
    </row>
    <row r="185" spans="1:50" ht="15.75">
      <c r="A185" s="200"/>
      <c r="B185" s="270"/>
      <c r="C185" s="275"/>
      <c r="D185" s="275"/>
      <c r="E185" s="275"/>
      <c r="F185" s="255"/>
      <c r="G185" s="275"/>
      <c r="H185" s="276"/>
      <c r="I185" s="212"/>
      <c r="J185" s="212"/>
      <c r="K185" s="212"/>
      <c r="L185" s="212"/>
      <c r="M185" s="212"/>
      <c r="N185" s="212"/>
      <c r="O185" s="212"/>
      <c r="P185" s="212"/>
      <c r="Q185" s="212"/>
      <c r="R185" s="212"/>
      <c r="S185" s="212"/>
      <c r="T185" s="212"/>
      <c r="U185" s="212"/>
      <c r="V185" s="212"/>
      <c r="W185" s="247"/>
      <c r="X185" s="247"/>
      <c r="Y185" s="247"/>
      <c r="Z185" s="247"/>
      <c r="AA185" s="247"/>
      <c r="AB185" s="247"/>
      <c r="AC185" s="247"/>
      <c r="AD185" s="247"/>
      <c r="AE185" s="247"/>
      <c r="AF185" s="247"/>
      <c r="AG185" s="247"/>
      <c r="AH185" s="247"/>
      <c r="AI185" s="247"/>
      <c r="AJ185" s="247"/>
      <c r="AK185" s="247"/>
      <c r="AL185" s="247"/>
      <c r="AM185" s="247"/>
      <c r="AN185" s="247"/>
      <c r="AO185" s="247"/>
      <c r="AP185" s="247"/>
      <c r="AQ185" s="247"/>
      <c r="AR185" s="247"/>
      <c r="AS185" s="247"/>
      <c r="AT185" s="247"/>
      <c r="AU185" s="247"/>
      <c r="AV185" s="247"/>
      <c r="AW185" s="247"/>
      <c r="AX185" s="192"/>
    </row>
    <row r="186" spans="1:50" ht="15.75">
      <c r="A186" s="200"/>
      <c r="B186" s="270"/>
      <c r="C186" s="275"/>
      <c r="D186" s="275"/>
      <c r="E186" s="275"/>
      <c r="F186" s="255"/>
      <c r="G186" s="275"/>
      <c r="H186" s="276"/>
      <c r="I186" s="212"/>
      <c r="J186" s="212"/>
      <c r="K186" s="212"/>
      <c r="L186" s="212"/>
      <c r="M186" s="212"/>
      <c r="N186" s="212"/>
      <c r="O186" s="212"/>
      <c r="P186" s="212"/>
      <c r="Q186" s="212"/>
      <c r="R186" s="212"/>
      <c r="S186" s="212"/>
      <c r="T186" s="212"/>
      <c r="U186" s="212"/>
      <c r="V186" s="212"/>
      <c r="W186" s="247"/>
      <c r="X186" s="247"/>
      <c r="Y186" s="247"/>
      <c r="Z186" s="247"/>
      <c r="AA186" s="247"/>
      <c r="AB186" s="247"/>
      <c r="AC186" s="247"/>
      <c r="AD186" s="247"/>
      <c r="AE186" s="247"/>
      <c r="AF186" s="247"/>
      <c r="AG186" s="247"/>
      <c r="AH186" s="247"/>
      <c r="AI186" s="247"/>
      <c r="AJ186" s="247"/>
      <c r="AK186" s="247"/>
      <c r="AL186" s="247"/>
      <c r="AM186" s="247"/>
      <c r="AN186" s="247"/>
      <c r="AO186" s="247"/>
      <c r="AP186" s="247"/>
      <c r="AQ186" s="247"/>
      <c r="AR186" s="247"/>
      <c r="AS186" s="247"/>
      <c r="AT186" s="247"/>
      <c r="AU186" s="247"/>
      <c r="AV186" s="247"/>
      <c r="AW186" s="247"/>
      <c r="AX186" s="192"/>
    </row>
    <row r="187" spans="1:50" ht="15.75">
      <c r="A187" s="684" t="s">
        <v>561</v>
      </c>
      <c r="B187" s="685"/>
      <c r="C187" s="275" t="s">
        <v>562</v>
      </c>
      <c r="D187" s="275" t="s">
        <v>562</v>
      </c>
      <c r="E187" s="275"/>
      <c r="F187" s="255"/>
      <c r="G187" s="275"/>
      <c r="H187" s="276"/>
      <c r="I187" s="212"/>
      <c r="J187" s="212"/>
      <c r="K187" s="212"/>
      <c r="L187" s="212"/>
      <c r="M187" s="212"/>
      <c r="N187" s="212"/>
      <c r="O187" s="212"/>
      <c r="P187" s="212"/>
      <c r="Q187" s="212"/>
      <c r="R187" s="212"/>
      <c r="S187" s="212"/>
      <c r="T187" s="212"/>
      <c r="U187" s="212"/>
      <c r="V187" s="212"/>
      <c r="W187" s="256"/>
      <c r="X187" s="256"/>
      <c r="Y187" s="256"/>
      <c r="Z187" s="256"/>
      <c r="AA187" s="256"/>
      <c r="AB187" s="256"/>
      <c r="AC187" s="256"/>
      <c r="AD187" s="256"/>
      <c r="AE187" s="256"/>
      <c r="AF187" s="256"/>
      <c r="AG187" s="256"/>
      <c r="AH187" s="256"/>
      <c r="AI187" s="256"/>
      <c r="AJ187" s="256"/>
      <c r="AK187" s="256"/>
      <c r="AL187" s="256"/>
      <c r="AM187" s="256"/>
      <c r="AN187" s="256"/>
      <c r="AO187" s="256"/>
      <c r="AP187" s="256"/>
      <c r="AQ187" s="256"/>
      <c r="AR187" s="256"/>
      <c r="AS187" s="256"/>
      <c r="AT187" s="256"/>
      <c r="AU187" s="256"/>
      <c r="AV187" s="256"/>
      <c r="AW187" s="256"/>
      <c r="AX187" s="192"/>
    </row>
    <row r="188" spans="1:50" ht="15.75">
      <c r="A188" s="277"/>
      <c r="B188" s="277"/>
      <c r="C188" s="276"/>
      <c r="D188" s="276"/>
      <c r="E188" s="276"/>
      <c r="F188" s="276"/>
      <c r="G188" s="276"/>
      <c r="H188" s="276"/>
      <c r="I188" s="212"/>
      <c r="J188" s="212"/>
      <c r="K188" s="212"/>
      <c r="L188" s="212"/>
      <c r="M188" s="212"/>
      <c r="N188" s="212"/>
      <c r="O188" s="212"/>
      <c r="P188" s="212"/>
      <c r="Q188" s="212"/>
      <c r="R188" s="212"/>
      <c r="S188" s="212"/>
      <c r="T188" s="212"/>
      <c r="U188" s="212"/>
      <c r="V188" s="212"/>
      <c r="W188" s="256"/>
      <c r="X188" s="256"/>
      <c r="Y188" s="256"/>
      <c r="Z188" s="256"/>
      <c r="AA188" s="256"/>
      <c r="AB188" s="256"/>
      <c r="AC188" s="256"/>
      <c r="AD188" s="256"/>
      <c r="AE188" s="256"/>
      <c r="AF188" s="256"/>
      <c r="AG188" s="256"/>
      <c r="AH188" s="256"/>
      <c r="AI188" s="256"/>
      <c r="AJ188" s="256"/>
      <c r="AK188" s="256"/>
      <c r="AL188" s="256"/>
      <c r="AM188" s="256"/>
      <c r="AN188" s="256"/>
      <c r="AO188" s="256"/>
      <c r="AP188" s="256"/>
      <c r="AQ188" s="256"/>
      <c r="AR188" s="256"/>
      <c r="AS188" s="256"/>
      <c r="AT188" s="256"/>
      <c r="AU188" s="256"/>
      <c r="AV188" s="256"/>
      <c r="AW188" s="256"/>
      <c r="AX188" s="192"/>
    </row>
    <row r="189" spans="1:50" ht="36" customHeight="1">
      <c r="A189" s="697" t="s">
        <v>623</v>
      </c>
      <c r="B189" s="697"/>
      <c r="C189" s="697"/>
      <c r="D189" s="697"/>
      <c r="E189" s="697"/>
      <c r="F189" s="697"/>
      <c r="G189" s="697"/>
      <c r="H189" s="697"/>
      <c r="I189" s="697"/>
      <c r="J189" s="697"/>
      <c r="K189" s="697"/>
      <c r="L189" s="212"/>
      <c r="M189" s="212"/>
      <c r="N189" s="212"/>
      <c r="O189" s="212"/>
      <c r="P189" s="212"/>
      <c r="Q189" s="212"/>
      <c r="R189" s="212"/>
      <c r="S189" s="212"/>
      <c r="T189" s="212"/>
      <c r="U189" s="212"/>
      <c r="V189" s="212"/>
      <c r="W189" s="256"/>
      <c r="X189" s="256"/>
      <c r="Y189" s="256"/>
      <c r="Z189" s="256"/>
      <c r="AA189" s="256"/>
      <c r="AB189" s="256"/>
      <c r="AC189" s="256"/>
      <c r="AD189" s="256"/>
      <c r="AE189" s="256"/>
      <c r="AF189" s="256"/>
      <c r="AG189" s="256"/>
      <c r="AH189" s="256"/>
      <c r="AI189" s="256"/>
      <c r="AJ189" s="256"/>
      <c r="AK189" s="256"/>
      <c r="AL189" s="256"/>
      <c r="AM189" s="256"/>
      <c r="AN189" s="256"/>
      <c r="AO189" s="256"/>
      <c r="AP189" s="256"/>
      <c r="AQ189" s="256"/>
      <c r="AR189" s="256"/>
      <c r="AS189" s="256"/>
      <c r="AT189" s="256"/>
      <c r="AU189" s="256"/>
      <c r="AV189" s="256"/>
      <c r="AW189" s="256"/>
      <c r="AX189" s="192"/>
    </row>
    <row r="190" spans="2:11" ht="15.75">
      <c r="B190" s="186"/>
      <c r="I190" s="192"/>
      <c r="J190" s="278"/>
      <c r="K190" s="278"/>
    </row>
    <row r="191" spans="1:12" ht="15.75" customHeight="1">
      <c r="A191" s="698" t="s">
        <v>624</v>
      </c>
      <c r="B191" s="698"/>
      <c r="C191" s="698"/>
      <c r="D191" s="698"/>
      <c r="E191" s="698"/>
      <c r="F191" s="698"/>
      <c r="G191" s="698"/>
      <c r="H191" s="698"/>
      <c r="I191" s="698"/>
      <c r="J191" s="698"/>
      <c r="K191" s="698"/>
      <c r="L191" s="280"/>
    </row>
    <row r="192" spans="1:12" ht="15.75" customHeight="1">
      <c r="A192" s="279"/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80"/>
    </row>
    <row r="193" spans="2:31" ht="15.75" customHeight="1">
      <c r="B193" s="193" t="s">
        <v>622</v>
      </c>
      <c r="C193" s="193"/>
      <c r="K193" s="192"/>
      <c r="L193" s="192"/>
      <c r="M193" s="192"/>
      <c r="N193" s="192"/>
      <c r="O193" s="192"/>
      <c r="P193" s="192"/>
      <c r="Q193" s="192"/>
      <c r="R193" s="192"/>
      <c r="S193" s="192"/>
      <c r="T193" s="192"/>
      <c r="U193" s="192"/>
      <c r="V193" s="192"/>
      <c r="W193" s="192"/>
      <c r="X193" s="192"/>
      <c r="Y193" s="192"/>
      <c r="Z193" s="192"/>
      <c r="AA193" s="192"/>
      <c r="AB193" s="192"/>
      <c r="AC193" s="192"/>
      <c r="AD193" s="192"/>
      <c r="AE193" s="192"/>
    </row>
    <row r="194" spans="2:31" ht="15.75" customHeight="1">
      <c r="B194" s="186"/>
      <c r="K194" s="192"/>
      <c r="L194" s="192"/>
      <c r="M194" s="192"/>
      <c r="N194" s="192"/>
      <c r="O194" s="192"/>
      <c r="P194" s="192"/>
      <c r="Q194" s="192"/>
      <c r="R194" s="192"/>
      <c r="S194" s="192"/>
      <c r="T194" s="192"/>
      <c r="U194" s="192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</row>
    <row r="195" spans="2:31" ht="15.75" customHeight="1">
      <c r="B195" s="193" t="s">
        <v>542</v>
      </c>
      <c r="C195" s="193"/>
      <c r="D195" s="193" t="s">
        <v>604</v>
      </c>
      <c r="E195" s="193"/>
      <c r="F195" s="193"/>
      <c r="G195" s="193"/>
      <c r="K195" s="192"/>
      <c r="L195" s="192"/>
      <c r="M195" s="192"/>
      <c r="N195" s="192"/>
      <c r="O195" s="192"/>
      <c r="P195" s="192"/>
      <c r="Q195" s="192"/>
      <c r="R195" s="192"/>
      <c r="S195" s="192"/>
      <c r="T195" s="192"/>
      <c r="U195" s="192"/>
      <c r="V195" s="192"/>
      <c r="W195" s="192"/>
      <c r="X195" s="192"/>
      <c r="Y195" s="192"/>
      <c r="Z195" s="192"/>
      <c r="AA195" s="192"/>
      <c r="AB195" s="192"/>
      <c r="AC195" s="192"/>
      <c r="AD195" s="192"/>
      <c r="AE195" s="192"/>
    </row>
    <row r="196" spans="1:12" ht="15.75" customHeight="1">
      <c r="A196" s="224"/>
      <c r="B196" s="224"/>
      <c r="C196" s="224"/>
      <c r="D196" s="224"/>
      <c r="E196" s="224"/>
      <c r="F196" s="224"/>
      <c r="G196" s="280"/>
      <c r="H196" s="280"/>
      <c r="I196" s="280"/>
      <c r="J196" s="280"/>
      <c r="K196" s="280"/>
      <c r="L196" s="280"/>
    </row>
    <row r="197" spans="1:8" ht="15.75" customHeight="1">
      <c r="A197" s="671" t="s">
        <v>545</v>
      </c>
      <c r="B197" s="686" t="s">
        <v>1</v>
      </c>
      <c r="C197" s="686" t="s">
        <v>605</v>
      </c>
      <c r="D197" s="686" t="s">
        <v>606</v>
      </c>
      <c r="E197" s="667" t="s">
        <v>579</v>
      </c>
      <c r="F197" s="687"/>
      <c r="G197" s="668"/>
      <c r="H197" s="257"/>
    </row>
    <row r="198" spans="1:50" ht="47.25" customHeight="1">
      <c r="A198" s="672"/>
      <c r="B198" s="686"/>
      <c r="C198" s="686"/>
      <c r="D198" s="686"/>
      <c r="E198" s="270" t="s">
        <v>607</v>
      </c>
      <c r="F198" s="236" t="s">
        <v>557</v>
      </c>
      <c r="G198" s="236" t="s">
        <v>563</v>
      </c>
      <c r="H198" s="272"/>
      <c r="I198" s="247"/>
      <c r="J198" s="247"/>
      <c r="K198" s="247"/>
      <c r="L198" s="247"/>
      <c r="M198" s="247"/>
      <c r="N198" s="247"/>
      <c r="O198" s="247"/>
      <c r="P198" s="247"/>
      <c r="Q198" s="247"/>
      <c r="R198" s="247"/>
      <c r="S198" s="247"/>
      <c r="T198" s="247"/>
      <c r="U198" s="247"/>
      <c r="V198" s="247"/>
      <c r="W198" s="247"/>
      <c r="X198" s="247"/>
      <c r="Y198" s="247"/>
      <c r="Z198" s="247"/>
      <c r="AA198" s="247"/>
      <c r="AB198" s="247"/>
      <c r="AC198" s="247"/>
      <c r="AD198" s="247"/>
      <c r="AE198" s="247"/>
      <c r="AF198" s="247"/>
      <c r="AG198" s="247"/>
      <c r="AH198" s="247"/>
      <c r="AI198" s="247"/>
      <c r="AJ198" s="247"/>
      <c r="AK198" s="247"/>
      <c r="AL198" s="247"/>
      <c r="AM198" s="247"/>
      <c r="AN198" s="247"/>
      <c r="AO198" s="247"/>
      <c r="AP198" s="247"/>
      <c r="AQ198" s="247"/>
      <c r="AR198" s="247"/>
      <c r="AS198" s="247"/>
      <c r="AT198" s="247"/>
      <c r="AU198" s="247"/>
      <c r="AV198" s="247"/>
      <c r="AW198" s="247"/>
      <c r="AX198" s="192"/>
    </row>
    <row r="199" spans="1:50" ht="12" customHeight="1">
      <c r="A199" s="281">
        <v>1</v>
      </c>
      <c r="B199" s="282">
        <v>2</v>
      </c>
      <c r="C199" s="282">
        <v>3</v>
      </c>
      <c r="D199" s="282">
        <v>4</v>
      </c>
      <c r="E199" s="274">
        <v>5</v>
      </c>
      <c r="F199" s="229">
        <v>6</v>
      </c>
      <c r="G199" s="229">
        <v>7</v>
      </c>
      <c r="H199" s="231"/>
      <c r="I199" s="205"/>
      <c r="J199" s="205"/>
      <c r="K199" s="205"/>
      <c r="L199" s="205"/>
      <c r="M199" s="205"/>
      <c r="N199" s="205"/>
      <c r="O199" s="205"/>
      <c r="P199" s="205"/>
      <c r="Q199" s="205"/>
      <c r="R199" s="205"/>
      <c r="S199" s="205"/>
      <c r="T199" s="205"/>
      <c r="U199" s="205"/>
      <c r="V199" s="205"/>
      <c r="W199" s="205"/>
      <c r="X199" s="205"/>
      <c r="Y199" s="205"/>
      <c r="Z199" s="205"/>
      <c r="AA199" s="205"/>
      <c r="AB199" s="205"/>
      <c r="AC199" s="205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/>
      <c r="AW199" s="205"/>
      <c r="AX199" s="192"/>
    </row>
    <row r="200" spans="1:50" ht="15.75">
      <c r="A200" s="200"/>
      <c r="B200" s="196"/>
      <c r="C200" s="202"/>
      <c r="D200" s="202"/>
      <c r="E200" s="275"/>
      <c r="F200" s="275"/>
      <c r="G200" s="275"/>
      <c r="H200" s="276"/>
      <c r="I200" s="212"/>
      <c r="J200" s="212"/>
      <c r="K200" s="212"/>
      <c r="L200" s="212"/>
      <c r="M200" s="212"/>
      <c r="N200" s="212"/>
      <c r="O200" s="212"/>
      <c r="P200" s="212"/>
      <c r="Q200" s="212"/>
      <c r="R200" s="212"/>
      <c r="S200" s="212"/>
      <c r="T200" s="212"/>
      <c r="U200" s="212"/>
      <c r="V200" s="212"/>
      <c r="W200" s="247"/>
      <c r="X200" s="247"/>
      <c r="Y200" s="247"/>
      <c r="Z200" s="247"/>
      <c r="AA200" s="247"/>
      <c r="AB200" s="247"/>
      <c r="AC200" s="247"/>
      <c r="AD200" s="247"/>
      <c r="AE200" s="247"/>
      <c r="AF200" s="247"/>
      <c r="AG200" s="247"/>
      <c r="AH200" s="247"/>
      <c r="AI200" s="247"/>
      <c r="AJ200" s="247"/>
      <c r="AK200" s="247"/>
      <c r="AL200" s="247"/>
      <c r="AM200" s="247"/>
      <c r="AN200" s="247"/>
      <c r="AO200" s="247"/>
      <c r="AP200" s="247"/>
      <c r="AQ200" s="247"/>
      <c r="AR200" s="247"/>
      <c r="AS200" s="247"/>
      <c r="AT200" s="247"/>
      <c r="AU200" s="247"/>
      <c r="AV200" s="247"/>
      <c r="AW200" s="247"/>
      <c r="AX200" s="192"/>
    </row>
    <row r="201" spans="1:50" ht="15.75">
      <c r="A201" s="200"/>
      <c r="B201" s="196"/>
      <c r="C201" s="202"/>
      <c r="D201" s="202"/>
      <c r="E201" s="275"/>
      <c r="F201" s="275"/>
      <c r="G201" s="275"/>
      <c r="H201" s="276"/>
      <c r="I201" s="212"/>
      <c r="J201" s="212"/>
      <c r="K201" s="212"/>
      <c r="L201" s="212"/>
      <c r="M201" s="212"/>
      <c r="N201" s="212"/>
      <c r="O201" s="212"/>
      <c r="P201" s="212"/>
      <c r="Q201" s="212"/>
      <c r="R201" s="212"/>
      <c r="S201" s="212"/>
      <c r="T201" s="212"/>
      <c r="U201" s="212"/>
      <c r="V201" s="212"/>
      <c r="W201" s="247"/>
      <c r="X201" s="247"/>
      <c r="Y201" s="247"/>
      <c r="Z201" s="247"/>
      <c r="AA201" s="247"/>
      <c r="AB201" s="247"/>
      <c r="AC201" s="247"/>
      <c r="AD201" s="247"/>
      <c r="AE201" s="247"/>
      <c r="AF201" s="247"/>
      <c r="AG201" s="247"/>
      <c r="AH201" s="247"/>
      <c r="AI201" s="247"/>
      <c r="AJ201" s="247"/>
      <c r="AK201" s="247"/>
      <c r="AL201" s="247"/>
      <c r="AM201" s="247"/>
      <c r="AN201" s="247"/>
      <c r="AO201" s="247"/>
      <c r="AP201" s="247"/>
      <c r="AQ201" s="247"/>
      <c r="AR201" s="247"/>
      <c r="AS201" s="247"/>
      <c r="AT201" s="247"/>
      <c r="AU201" s="247"/>
      <c r="AV201" s="247"/>
      <c r="AW201" s="247"/>
      <c r="AX201" s="192"/>
    </row>
    <row r="202" spans="1:50" ht="15.75">
      <c r="A202" s="684" t="s">
        <v>561</v>
      </c>
      <c r="B202" s="685"/>
      <c r="C202" s="202" t="s">
        <v>562</v>
      </c>
      <c r="D202" s="202" t="s">
        <v>562</v>
      </c>
      <c r="E202" s="275"/>
      <c r="F202" s="275"/>
      <c r="G202" s="275"/>
      <c r="H202" s="276"/>
      <c r="I202" s="212"/>
      <c r="J202" s="212"/>
      <c r="K202" s="212"/>
      <c r="L202" s="212"/>
      <c r="M202" s="212"/>
      <c r="N202" s="212"/>
      <c r="O202" s="212"/>
      <c r="P202" s="212"/>
      <c r="Q202" s="212"/>
      <c r="R202" s="212"/>
      <c r="S202" s="212"/>
      <c r="T202" s="212"/>
      <c r="U202" s="212"/>
      <c r="V202" s="212"/>
      <c r="W202" s="256"/>
      <c r="X202" s="256"/>
      <c r="Y202" s="256"/>
      <c r="Z202" s="256"/>
      <c r="AA202" s="256"/>
      <c r="AB202" s="256"/>
      <c r="AC202" s="256"/>
      <c r="AD202" s="256"/>
      <c r="AE202" s="256"/>
      <c r="AF202" s="256"/>
      <c r="AG202" s="256"/>
      <c r="AH202" s="256"/>
      <c r="AI202" s="256"/>
      <c r="AJ202" s="256"/>
      <c r="AK202" s="256"/>
      <c r="AL202" s="256"/>
      <c r="AM202" s="256"/>
      <c r="AN202" s="256"/>
      <c r="AO202" s="256"/>
      <c r="AP202" s="256"/>
      <c r="AQ202" s="256"/>
      <c r="AR202" s="256"/>
      <c r="AS202" s="256"/>
      <c r="AT202" s="256"/>
      <c r="AU202" s="256"/>
      <c r="AV202" s="256"/>
      <c r="AW202" s="256"/>
      <c r="AX202" s="192"/>
    </row>
    <row r="203" spans="1:50" ht="15.75">
      <c r="A203" s="237"/>
      <c r="B203" s="192"/>
      <c r="C203" s="237"/>
      <c r="D203" s="237"/>
      <c r="E203" s="237"/>
      <c r="F203" s="237"/>
      <c r="G203" s="192"/>
      <c r="H203" s="278"/>
      <c r="I203" s="278"/>
      <c r="J203" s="192"/>
      <c r="K203" s="192"/>
      <c r="L203" s="192"/>
      <c r="M203" s="192"/>
      <c r="N203" s="192"/>
      <c r="O203" s="192"/>
      <c r="P203" s="192"/>
      <c r="Q203" s="192"/>
      <c r="R203" s="192"/>
      <c r="S203" s="192"/>
      <c r="T203" s="192"/>
      <c r="U203" s="192"/>
      <c r="V203" s="192"/>
      <c r="W203" s="192"/>
      <c r="X203" s="192"/>
      <c r="Y203" s="192"/>
      <c r="Z203" s="192"/>
      <c r="AA203" s="192"/>
      <c r="AB203" s="192"/>
      <c r="AC203" s="192"/>
      <c r="AD203" s="192"/>
      <c r="AE203" s="192"/>
      <c r="AF203" s="192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92"/>
      <c r="AT203" s="192"/>
      <c r="AU203" s="192"/>
      <c r="AV203" s="192"/>
      <c r="AW203" s="192"/>
      <c r="AX203" s="192"/>
    </row>
    <row r="204" spans="1:50" ht="39" customHeight="1">
      <c r="A204" s="683" t="s">
        <v>625</v>
      </c>
      <c r="B204" s="683"/>
      <c r="C204" s="683"/>
      <c r="D204" s="683"/>
      <c r="E204" s="683"/>
      <c r="F204" s="683"/>
      <c r="G204" s="683"/>
      <c r="H204" s="683"/>
      <c r="I204" s="683"/>
      <c r="J204" s="683"/>
      <c r="K204" s="683"/>
      <c r="L204" s="192"/>
      <c r="M204" s="192"/>
      <c r="N204" s="192"/>
      <c r="O204" s="192"/>
      <c r="P204" s="192"/>
      <c r="Q204" s="192"/>
      <c r="R204" s="192"/>
      <c r="S204" s="192"/>
      <c r="T204" s="192"/>
      <c r="U204" s="192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92"/>
      <c r="AT204" s="192"/>
      <c r="AU204" s="192"/>
      <c r="AV204" s="192"/>
      <c r="AW204" s="192"/>
      <c r="AX204" s="192"/>
    </row>
    <row r="205" spans="1:50" ht="15.75">
      <c r="A205" s="237"/>
      <c r="B205" s="192"/>
      <c r="C205" s="237"/>
      <c r="D205" s="237"/>
      <c r="E205" s="237"/>
      <c r="F205" s="237"/>
      <c r="G205" s="192"/>
      <c r="H205" s="278"/>
      <c r="I205" s="278"/>
      <c r="J205" s="192"/>
      <c r="K205" s="192"/>
      <c r="L205" s="192"/>
      <c r="M205" s="192"/>
      <c r="N205" s="192"/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2"/>
      <c r="Z205" s="192"/>
      <c r="AA205" s="192"/>
      <c r="AB205" s="192"/>
      <c r="AC205" s="192"/>
      <c r="AD205" s="192"/>
      <c r="AE205" s="192"/>
      <c r="AF205" s="192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92"/>
      <c r="AT205" s="192"/>
      <c r="AU205" s="192"/>
      <c r="AV205" s="192"/>
      <c r="AW205" s="192"/>
      <c r="AX205" s="192"/>
    </row>
    <row r="206" spans="1:11" ht="15.75">
      <c r="A206" s="696" t="s">
        <v>626</v>
      </c>
      <c r="B206" s="696"/>
      <c r="C206" s="696"/>
      <c r="D206" s="696"/>
      <c r="E206" s="696"/>
      <c r="F206" s="696"/>
      <c r="G206" s="696"/>
      <c r="H206" s="696"/>
      <c r="I206" s="696"/>
      <c r="J206" s="696"/>
      <c r="K206" s="696"/>
    </row>
    <row r="207" spans="1:10" ht="15.75">
      <c r="A207" s="237"/>
      <c r="B207" s="192"/>
      <c r="C207" s="237"/>
      <c r="D207" s="237"/>
      <c r="E207" s="237"/>
      <c r="F207" s="237"/>
      <c r="G207" s="192"/>
      <c r="H207" s="278"/>
      <c r="I207" s="278"/>
      <c r="J207" s="192"/>
    </row>
    <row r="208" spans="2:31" ht="15.75" customHeight="1">
      <c r="B208" s="193" t="s">
        <v>627</v>
      </c>
      <c r="C208" s="193"/>
      <c r="K208" s="192"/>
      <c r="L208" s="192"/>
      <c r="M208" s="192"/>
      <c r="N208" s="192"/>
      <c r="O208" s="192"/>
      <c r="P208" s="192"/>
      <c r="Q208" s="192"/>
      <c r="R208" s="192"/>
      <c r="S208" s="192"/>
      <c r="T208" s="192"/>
      <c r="U208" s="192"/>
      <c r="V208" s="192"/>
      <c r="W208" s="192"/>
      <c r="X208" s="192"/>
      <c r="Y208" s="192"/>
      <c r="Z208" s="192"/>
      <c r="AA208" s="192"/>
      <c r="AB208" s="192"/>
      <c r="AC208" s="192"/>
      <c r="AD208" s="192"/>
      <c r="AE208" s="192"/>
    </row>
    <row r="209" spans="2:31" ht="15.75" customHeight="1">
      <c r="B209" s="186"/>
      <c r="K209" s="192"/>
      <c r="L209" s="192"/>
      <c r="M209" s="192"/>
      <c r="N209" s="192"/>
      <c r="O209" s="192"/>
      <c r="P209" s="192"/>
      <c r="Q209" s="192"/>
      <c r="R209" s="192"/>
      <c r="S209" s="192"/>
      <c r="T209" s="192"/>
      <c r="U209" s="192"/>
      <c r="V209" s="192"/>
      <c r="W209" s="192"/>
      <c r="X209" s="192"/>
      <c r="Y209" s="192"/>
      <c r="Z209" s="192"/>
      <c r="AA209" s="192"/>
      <c r="AB209" s="192"/>
      <c r="AC209" s="192"/>
      <c r="AD209" s="192"/>
      <c r="AE209" s="192"/>
    </row>
    <row r="210" spans="2:31" ht="15.75" customHeight="1">
      <c r="B210" s="193" t="s">
        <v>542</v>
      </c>
      <c r="C210" s="193"/>
      <c r="D210" s="193" t="s">
        <v>604</v>
      </c>
      <c r="E210" s="193"/>
      <c r="F210" s="193"/>
      <c r="G210" s="193"/>
      <c r="K210" s="192"/>
      <c r="L210" s="192"/>
      <c r="M210" s="192"/>
      <c r="N210" s="192"/>
      <c r="O210" s="192"/>
      <c r="P210" s="192"/>
      <c r="Q210" s="192"/>
      <c r="R210" s="192"/>
      <c r="S210" s="192"/>
      <c r="T210" s="192"/>
      <c r="U210" s="192"/>
      <c r="V210" s="192"/>
      <c r="W210" s="192"/>
      <c r="X210" s="192"/>
      <c r="Y210" s="192"/>
      <c r="Z210" s="192"/>
      <c r="AA210" s="192"/>
      <c r="AB210" s="192"/>
      <c r="AC210" s="192"/>
      <c r="AD210" s="192"/>
      <c r="AE210" s="192"/>
    </row>
    <row r="211" spans="1:10" ht="15.75">
      <c r="A211" s="237"/>
      <c r="B211" s="192"/>
      <c r="C211" s="237"/>
      <c r="D211" s="237"/>
      <c r="E211" s="237"/>
      <c r="F211" s="237"/>
      <c r="G211" s="192"/>
      <c r="H211" s="278"/>
      <c r="I211" s="278"/>
      <c r="J211" s="192"/>
    </row>
    <row r="212" spans="1:10" ht="15.75">
      <c r="A212" s="237"/>
      <c r="B212" s="223" t="s">
        <v>628</v>
      </c>
      <c r="C212" s="237"/>
      <c r="D212" s="237"/>
      <c r="E212" s="237"/>
      <c r="F212" s="237"/>
      <c r="G212" s="192"/>
      <c r="H212" s="278"/>
      <c r="I212" s="278"/>
      <c r="J212" s="192"/>
    </row>
    <row r="213" spans="1:10" ht="15.75">
      <c r="A213" s="283"/>
      <c r="B213" s="283"/>
      <c r="C213" s="283"/>
      <c r="D213" s="283"/>
      <c r="E213" s="237"/>
      <c r="F213" s="237"/>
      <c r="G213" s="192"/>
      <c r="H213" s="278"/>
      <c r="I213" s="278"/>
      <c r="J213" s="192"/>
    </row>
    <row r="214" spans="1:36" ht="22.5" customHeight="1">
      <c r="A214" s="671" t="s">
        <v>545</v>
      </c>
      <c r="B214" s="686" t="s">
        <v>566</v>
      </c>
      <c r="C214" s="686" t="s">
        <v>629</v>
      </c>
      <c r="D214" s="686" t="s">
        <v>630</v>
      </c>
      <c r="E214" s="686" t="s">
        <v>631</v>
      </c>
      <c r="F214" s="667" t="s">
        <v>579</v>
      </c>
      <c r="G214" s="687"/>
      <c r="H214" s="668"/>
      <c r="I214" s="257"/>
      <c r="J214" s="192"/>
      <c r="K214" s="192"/>
      <c r="L214" s="192"/>
      <c r="M214" s="192"/>
      <c r="N214" s="192"/>
      <c r="O214" s="192"/>
      <c r="P214" s="192"/>
      <c r="Q214" s="192"/>
      <c r="R214" s="192"/>
      <c r="S214" s="192"/>
      <c r="T214" s="192"/>
      <c r="U214" s="192"/>
      <c r="V214" s="192"/>
      <c r="W214" s="192"/>
      <c r="X214" s="192"/>
      <c r="Y214" s="192"/>
      <c r="Z214" s="192"/>
      <c r="AA214" s="192"/>
      <c r="AB214" s="192"/>
      <c r="AC214" s="192"/>
      <c r="AD214" s="192"/>
      <c r="AE214" s="192"/>
      <c r="AF214" s="192"/>
      <c r="AG214" s="192"/>
      <c r="AH214" s="192"/>
      <c r="AI214" s="192"/>
      <c r="AJ214" s="192"/>
    </row>
    <row r="215" spans="1:36" ht="56.25" customHeight="1">
      <c r="A215" s="672"/>
      <c r="B215" s="686"/>
      <c r="C215" s="686"/>
      <c r="D215" s="686"/>
      <c r="E215" s="686"/>
      <c r="F215" s="246" t="s">
        <v>632</v>
      </c>
      <c r="G215" s="225" t="s">
        <v>557</v>
      </c>
      <c r="H215" s="227" t="s">
        <v>563</v>
      </c>
      <c r="I215" s="272"/>
      <c r="J215" s="247"/>
      <c r="K215" s="247"/>
      <c r="L215" s="247"/>
      <c r="M215" s="247"/>
      <c r="N215" s="247"/>
      <c r="O215" s="247"/>
      <c r="P215" s="247"/>
      <c r="Q215" s="247"/>
      <c r="R215" s="247"/>
      <c r="S215" s="247"/>
      <c r="T215" s="247"/>
      <c r="U215" s="247"/>
      <c r="V215" s="284"/>
      <c r="W215" s="284"/>
      <c r="X215" s="284"/>
      <c r="Y215" s="284"/>
      <c r="Z215" s="284"/>
      <c r="AA215" s="284"/>
      <c r="AB215" s="284"/>
      <c r="AC215" s="284"/>
      <c r="AD215" s="284"/>
      <c r="AE215" s="284"/>
      <c r="AF215" s="284"/>
      <c r="AG215" s="284"/>
      <c r="AH215" s="284"/>
      <c r="AI215" s="284"/>
      <c r="AJ215" s="192"/>
    </row>
    <row r="216" spans="1:36" ht="15.75">
      <c r="A216" s="201">
        <v>1</v>
      </c>
      <c r="B216" s="201">
        <v>2</v>
      </c>
      <c r="C216" s="201">
        <v>3</v>
      </c>
      <c r="D216" s="201">
        <v>4</v>
      </c>
      <c r="E216" s="201">
        <v>5</v>
      </c>
      <c r="F216" s="204">
        <v>6</v>
      </c>
      <c r="G216" s="230">
        <v>7</v>
      </c>
      <c r="H216" s="229">
        <v>8</v>
      </c>
      <c r="I216" s="231"/>
      <c r="J216" s="205"/>
      <c r="K216" s="205"/>
      <c r="L216" s="205"/>
      <c r="M216" s="205"/>
      <c r="N216" s="205"/>
      <c r="O216" s="205"/>
      <c r="P216" s="205"/>
      <c r="Q216" s="205"/>
      <c r="R216" s="205"/>
      <c r="S216" s="205"/>
      <c r="T216" s="205"/>
      <c r="U216" s="205"/>
      <c r="V216" s="285"/>
      <c r="W216" s="285"/>
      <c r="X216" s="285"/>
      <c r="Y216" s="285"/>
      <c r="Z216" s="285"/>
      <c r="AA216" s="285"/>
      <c r="AB216" s="285"/>
      <c r="AC216" s="285"/>
      <c r="AD216" s="285"/>
      <c r="AE216" s="285"/>
      <c r="AF216" s="285"/>
      <c r="AG216" s="285"/>
      <c r="AH216" s="285"/>
      <c r="AI216" s="285"/>
      <c r="AJ216" s="192"/>
    </row>
    <row r="217" spans="1:36" ht="31.5">
      <c r="A217" s="238" t="s">
        <v>608</v>
      </c>
      <c r="B217" s="298" t="s">
        <v>633</v>
      </c>
      <c r="C217" s="286">
        <v>6</v>
      </c>
      <c r="D217" s="287">
        <v>11</v>
      </c>
      <c r="E217" s="288">
        <v>484.85</v>
      </c>
      <c r="F217" s="289">
        <f>SUM(G217:H217)</f>
        <v>56000.100000000006</v>
      </c>
      <c r="G217" s="289">
        <v>0</v>
      </c>
      <c r="H217" s="289">
        <f>C217*D217*E217+24000</f>
        <v>56000.100000000006</v>
      </c>
      <c r="I217" s="276"/>
      <c r="J217" s="212"/>
      <c r="K217" s="212"/>
      <c r="L217" s="212"/>
      <c r="M217" s="212"/>
      <c r="N217" s="212"/>
      <c r="O217" s="212"/>
      <c r="P217" s="212"/>
      <c r="Q217" s="212"/>
      <c r="R217" s="212"/>
      <c r="S217" s="212"/>
      <c r="T217" s="212"/>
      <c r="U217" s="212"/>
      <c r="V217" s="284"/>
      <c r="W217" s="284"/>
      <c r="X217" s="284"/>
      <c r="Y217" s="284"/>
      <c r="Z217" s="284"/>
      <c r="AA217" s="284"/>
      <c r="AB217" s="284"/>
      <c r="AC217" s="284"/>
      <c r="AD217" s="284"/>
      <c r="AE217" s="284"/>
      <c r="AF217" s="284"/>
      <c r="AG217" s="284"/>
      <c r="AH217" s="284"/>
      <c r="AI217" s="284"/>
      <c r="AJ217" s="192"/>
    </row>
    <row r="218" spans="1:36" ht="31.5">
      <c r="A218" s="238" t="s">
        <v>588</v>
      </c>
      <c r="B218" s="298" t="s">
        <v>634</v>
      </c>
      <c r="C218" s="288" t="s">
        <v>562</v>
      </c>
      <c r="D218" s="288">
        <v>12</v>
      </c>
      <c r="E218" s="288">
        <v>6000</v>
      </c>
      <c r="F218" s="288">
        <f>G218+H218</f>
        <v>152250.49</v>
      </c>
      <c r="G218" s="288">
        <f>72000+2644.09</f>
        <v>74644.09</v>
      </c>
      <c r="H218" s="289">
        <v>77606.4</v>
      </c>
      <c r="I218" s="562"/>
      <c r="J218" s="212"/>
      <c r="K218" s="212"/>
      <c r="L218" s="212"/>
      <c r="M218" s="212"/>
      <c r="N218" s="212"/>
      <c r="O218" s="212"/>
      <c r="P218" s="212"/>
      <c r="Q218" s="212"/>
      <c r="R218" s="212"/>
      <c r="S218" s="212"/>
      <c r="T218" s="212"/>
      <c r="U218" s="212"/>
      <c r="V218" s="284"/>
      <c r="W218" s="284"/>
      <c r="X218" s="284"/>
      <c r="Y218" s="284"/>
      <c r="Z218" s="284"/>
      <c r="AA218" s="284"/>
      <c r="AB218" s="284"/>
      <c r="AC218" s="284"/>
      <c r="AD218" s="284"/>
      <c r="AE218" s="284"/>
      <c r="AF218" s="284"/>
      <c r="AG218" s="284"/>
      <c r="AH218" s="284"/>
      <c r="AI218" s="284"/>
      <c r="AJ218" s="192"/>
    </row>
    <row r="219" spans="1:36" ht="15.75">
      <c r="A219" s="694" t="s">
        <v>635</v>
      </c>
      <c r="B219" s="695"/>
      <c r="C219" s="266" t="s">
        <v>562</v>
      </c>
      <c r="D219" s="266" t="s">
        <v>562</v>
      </c>
      <c r="E219" s="266" t="s">
        <v>562</v>
      </c>
      <c r="F219" s="290">
        <f>SUM(F217:F218)</f>
        <v>208250.59</v>
      </c>
      <c r="G219" s="291">
        <f>SUM(G217:G218)</f>
        <v>74644.09</v>
      </c>
      <c r="H219" s="292">
        <f>SUM(H217:H218)</f>
        <v>133606.5</v>
      </c>
      <c r="I219" s="276"/>
      <c r="J219" s="212"/>
      <c r="K219" s="212"/>
      <c r="L219" s="212"/>
      <c r="M219" s="212"/>
      <c r="N219" s="212"/>
      <c r="O219" s="212"/>
      <c r="P219" s="212"/>
      <c r="Q219" s="212"/>
      <c r="R219" s="212"/>
      <c r="S219" s="212"/>
      <c r="T219" s="212"/>
      <c r="U219" s="212"/>
      <c r="V219" s="293"/>
      <c r="W219" s="293"/>
      <c r="X219" s="293"/>
      <c r="Y219" s="293"/>
      <c r="Z219" s="293"/>
      <c r="AA219" s="293"/>
      <c r="AB219" s="293"/>
      <c r="AC219" s="293"/>
      <c r="AD219" s="293"/>
      <c r="AE219" s="293"/>
      <c r="AF219" s="293"/>
      <c r="AG219" s="293"/>
      <c r="AH219" s="293"/>
      <c r="AI219" s="293"/>
      <c r="AJ219" s="192"/>
    </row>
    <row r="220" spans="1:10" ht="15.75">
      <c r="A220" s="237"/>
      <c r="B220" s="192"/>
      <c r="C220" s="237"/>
      <c r="D220" s="237"/>
      <c r="E220" s="237"/>
      <c r="F220" s="237"/>
      <c r="G220" s="192"/>
      <c r="H220" s="278"/>
      <c r="I220" s="278"/>
      <c r="J220" s="192"/>
    </row>
    <row r="221" spans="1:10" ht="15.75" hidden="1">
      <c r="A221" s="237"/>
      <c r="B221" s="223" t="s">
        <v>857</v>
      </c>
      <c r="C221" s="237"/>
      <c r="D221" s="237"/>
      <c r="E221" s="237"/>
      <c r="F221" s="237"/>
      <c r="G221" s="192"/>
      <c r="H221" s="278"/>
      <c r="I221" s="278"/>
      <c r="J221" s="192"/>
    </row>
    <row r="222" spans="1:10" ht="15.75" hidden="1">
      <c r="A222" s="283"/>
      <c r="B222" s="283"/>
      <c r="C222" s="283"/>
      <c r="D222" s="283"/>
      <c r="E222" s="237"/>
      <c r="F222" s="237"/>
      <c r="G222" s="192"/>
      <c r="H222" s="278"/>
      <c r="I222" s="278"/>
      <c r="J222" s="192"/>
    </row>
    <row r="223" spans="1:36" ht="15.75" hidden="1">
      <c r="A223" s="671" t="s">
        <v>545</v>
      </c>
      <c r="B223" s="686" t="s">
        <v>566</v>
      </c>
      <c r="C223" s="686" t="s">
        <v>629</v>
      </c>
      <c r="D223" s="686" t="s">
        <v>630</v>
      </c>
      <c r="E223" s="686" t="s">
        <v>631</v>
      </c>
      <c r="F223" s="667" t="s">
        <v>579</v>
      </c>
      <c r="G223" s="687"/>
      <c r="H223" s="668"/>
      <c r="I223" s="257"/>
      <c r="J223" s="192"/>
      <c r="K223" s="192"/>
      <c r="L223" s="192"/>
      <c r="M223" s="192"/>
      <c r="N223" s="192"/>
      <c r="O223" s="192"/>
      <c r="P223" s="192"/>
      <c r="Q223" s="192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</row>
    <row r="224" spans="1:36" ht="47.25" hidden="1">
      <c r="A224" s="672"/>
      <c r="B224" s="686"/>
      <c r="C224" s="686"/>
      <c r="D224" s="686"/>
      <c r="E224" s="686"/>
      <c r="F224" s="246" t="s">
        <v>632</v>
      </c>
      <c r="G224" s="225" t="s">
        <v>557</v>
      </c>
      <c r="H224" s="227" t="s">
        <v>563</v>
      </c>
      <c r="I224" s="272"/>
      <c r="J224" s="247"/>
      <c r="K224" s="247"/>
      <c r="L224" s="247"/>
      <c r="M224" s="247"/>
      <c r="N224" s="247"/>
      <c r="O224" s="247"/>
      <c r="P224" s="247"/>
      <c r="Q224" s="247"/>
      <c r="R224" s="247"/>
      <c r="S224" s="247"/>
      <c r="T224" s="247"/>
      <c r="U224" s="247"/>
      <c r="V224" s="284"/>
      <c r="W224" s="284"/>
      <c r="X224" s="284"/>
      <c r="Y224" s="284"/>
      <c r="Z224" s="284"/>
      <c r="AA224" s="284"/>
      <c r="AB224" s="284"/>
      <c r="AC224" s="284"/>
      <c r="AD224" s="284"/>
      <c r="AE224" s="284"/>
      <c r="AF224" s="284"/>
      <c r="AG224" s="284"/>
      <c r="AH224" s="284"/>
      <c r="AI224" s="284"/>
      <c r="AJ224" s="192"/>
    </row>
    <row r="225" spans="1:36" ht="15.75" hidden="1">
      <c r="A225" s="201">
        <v>1</v>
      </c>
      <c r="B225" s="201">
        <v>2</v>
      </c>
      <c r="C225" s="201">
        <v>3</v>
      </c>
      <c r="D225" s="201">
        <v>4</v>
      </c>
      <c r="E225" s="201">
        <v>5</v>
      </c>
      <c r="F225" s="204">
        <v>6</v>
      </c>
      <c r="G225" s="230">
        <v>7</v>
      </c>
      <c r="H225" s="229">
        <v>8</v>
      </c>
      <c r="I225" s="231"/>
      <c r="J225" s="205"/>
      <c r="K225" s="205"/>
      <c r="L225" s="205"/>
      <c r="M225" s="205"/>
      <c r="N225" s="205"/>
      <c r="O225" s="205"/>
      <c r="P225" s="205"/>
      <c r="Q225" s="205"/>
      <c r="R225" s="205"/>
      <c r="S225" s="205"/>
      <c r="T225" s="205"/>
      <c r="U225" s="205"/>
      <c r="V225" s="285"/>
      <c r="W225" s="285"/>
      <c r="X225" s="285"/>
      <c r="Y225" s="285"/>
      <c r="Z225" s="285"/>
      <c r="AA225" s="285"/>
      <c r="AB225" s="285"/>
      <c r="AC225" s="285"/>
      <c r="AD225" s="285"/>
      <c r="AE225" s="285"/>
      <c r="AF225" s="285"/>
      <c r="AG225" s="285"/>
      <c r="AH225" s="285"/>
      <c r="AI225" s="285"/>
      <c r="AJ225" s="192"/>
    </row>
    <row r="226" spans="1:36" ht="15.75" hidden="1">
      <c r="A226" s="238" t="s">
        <v>608</v>
      </c>
      <c r="B226" s="298" t="s">
        <v>316</v>
      </c>
      <c r="C226" s="215">
        <v>3</v>
      </c>
      <c r="D226" s="215">
        <v>12</v>
      </c>
      <c r="E226" s="370">
        <v>2000</v>
      </c>
      <c r="F226" s="520">
        <f>SUM(G226:H226)</f>
        <v>0</v>
      </c>
      <c r="G226" s="299"/>
      <c r="H226" s="265"/>
      <c r="I226" s="276"/>
      <c r="J226" s="212"/>
      <c r="K226" s="212"/>
      <c r="L226" s="212"/>
      <c r="M226" s="212"/>
      <c r="N226" s="212"/>
      <c r="O226" s="212"/>
      <c r="P226" s="212"/>
      <c r="Q226" s="212"/>
      <c r="R226" s="212"/>
      <c r="S226" s="212"/>
      <c r="T226" s="212"/>
      <c r="U226" s="212"/>
      <c r="V226" s="284"/>
      <c r="W226" s="284"/>
      <c r="X226" s="284"/>
      <c r="Y226" s="284"/>
      <c r="Z226" s="284"/>
      <c r="AA226" s="284"/>
      <c r="AB226" s="284"/>
      <c r="AC226" s="284"/>
      <c r="AD226" s="284"/>
      <c r="AE226" s="284"/>
      <c r="AF226" s="284"/>
      <c r="AG226" s="284"/>
      <c r="AH226" s="284"/>
      <c r="AI226" s="284"/>
      <c r="AJ226" s="192"/>
    </row>
    <row r="227" spans="1:36" ht="15.75" hidden="1">
      <c r="A227" s="238" t="s">
        <v>588</v>
      </c>
      <c r="B227" s="298" t="s">
        <v>858</v>
      </c>
      <c r="C227" s="215">
        <v>2</v>
      </c>
      <c r="D227" s="215">
        <v>12</v>
      </c>
      <c r="E227" s="370">
        <v>1817.2</v>
      </c>
      <c r="F227" s="520">
        <f>SUM(G227:H227)</f>
        <v>0</v>
      </c>
      <c r="G227" s="299"/>
      <c r="H227" s="265"/>
      <c r="I227" s="276"/>
      <c r="J227" s="212"/>
      <c r="K227" s="212"/>
      <c r="L227" s="212"/>
      <c r="M227" s="212"/>
      <c r="N227" s="212"/>
      <c r="O227" s="212"/>
      <c r="P227" s="212"/>
      <c r="Q227" s="212"/>
      <c r="R227" s="212"/>
      <c r="S227" s="212"/>
      <c r="T227" s="212"/>
      <c r="U227" s="212"/>
      <c r="V227" s="284"/>
      <c r="W227" s="284"/>
      <c r="X227" s="284"/>
      <c r="Y227" s="284"/>
      <c r="Z227" s="284"/>
      <c r="AA227" s="284"/>
      <c r="AB227" s="284"/>
      <c r="AC227" s="284"/>
      <c r="AD227" s="284"/>
      <c r="AE227" s="284"/>
      <c r="AF227" s="284"/>
      <c r="AG227" s="284"/>
      <c r="AH227" s="284"/>
      <c r="AI227" s="284"/>
      <c r="AJ227" s="192"/>
    </row>
    <row r="228" spans="1:36" ht="16.5" hidden="1">
      <c r="A228" s="691" t="s">
        <v>635</v>
      </c>
      <c r="B228" s="692"/>
      <c r="C228" s="215" t="s">
        <v>562</v>
      </c>
      <c r="D228" s="215" t="s">
        <v>562</v>
      </c>
      <c r="E228" s="370" t="s">
        <v>562</v>
      </c>
      <c r="F228" s="525">
        <f>SUM(F226:F227)</f>
        <v>0</v>
      </c>
      <c r="G228" s="525">
        <f>SUM(G226:G227)</f>
        <v>0</v>
      </c>
      <c r="H228" s="525">
        <f>SUM(H226:H227)</f>
        <v>0</v>
      </c>
      <c r="I228" s="276"/>
      <c r="J228" s="212"/>
      <c r="K228" s="212"/>
      <c r="L228" s="212"/>
      <c r="M228" s="212"/>
      <c r="N228" s="212"/>
      <c r="O228" s="212"/>
      <c r="P228" s="212"/>
      <c r="Q228" s="212"/>
      <c r="R228" s="212"/>
      <c r="S228" s="212"/>
      <c r="T228" s="212"/>
      <c r="U228" s="212"/>
      <c r="V228" s="293"/>
      <c r="W228" s="293"/>
      <c r="X228" s="293"/>
      <c r="Y228" s="293"/>
      <c r="Z228" s="293"/>
      <c r="AA228" s="293"/>
      <c r="AB228" s="293"/>
      <c r="AC228" s="293"/>
      <c r="AD228" s="293"/>
      <c r="AE228" s="293"/>
      <c r="AF228" s="293"/>
      <c r="AG228" s="293"/>
      <c r="AH228" s="293"/>
      <c r="AI228" s="293"/>
      <c r="AJ228" s="192"/>
    </row>
    <row r="229" spans="1:10" ht="15.75">
      <c r="A229" s="237"/>
      <c r="B229" s="192"/>
      <c r="C229" s="237"/>
      <c r="D229" s="237"/>
      <c r="E229" s="237"/>
      <c r="F229" s="237"/>
      <c r="G229" s="192"/>
      <c r="H229" s="278"/>
      <c r="I229" s="278"/>
      <c r="J229" s="192"/>
    </row>
    <row r="230" spans="1:11" ht="151.5" customHeight="1">
      <c r="A230" s="683" t="s">
        <v>636</v>
      </c>
      <c r="B230" s="683"/>
      <c r="C230" s="683"/>
      <c r="D230" s="683"/>
      <c r="E230" s="683"/>
      <c r="F230" s="683"/>
      <c r="G230" s="683"/>
      <c r="H230" s="683"/>
      <c r="I230" s="683"/>
      <c r="J230" s="683"/>
      <c r="K230" s="683"/>
    </row>
    <row r="231" spans="1:10" ht="15.75">
      <c r="A231" s="237"/>
      <c r="B231" s="192"/>
      <c r="C231" s="237"/>
      <c r="D231" s="237"/>
      <c r="E231" s="237"/>
      <c r="F231" s="237"/>
      <c r="G231" s="192"/>
      <c r="H231" s="278"/>
      <c r="I231" s="278"/>
      <c r="J231" s="192"/>
    </row>
    <row r="232" spans="1:10" ht="15.75">
      <c r="A232" s="283"/>
      <c r="B232" s="283" t="s">
        <v>637</v>
      </c>
      <c r="C232" s="283"/>
      <c r="D232" s="283"/>
      <c r="E232" s="283"/>
      <c r="F232" s="237"/>
      <c r="G232" s="192"/>
      <c r="H232" s="278"/>
      <c r="I232" s="278"/>
      <c r="J232" s="192"/>
    </row>
    <row r="233" spans="1:10" ht="15.75">
      <c r="A233" s="237"/>
      <c r="B233" s="192"/>
      <c r="C233" s="237"/>
      <c r="D233" s="237"/>
      <c r="E233" s="237"/>
      <c r="F233" s="237"/>
      <c r="G233" s="192"/>
      <c r="H233" s="278"/>
      <c r="I233" s="278"/>
      <c r="J233" s="192"/>
    </row>
    <row r="234" spans="1:10" ht="15.75">
      <c r="A234" s="671" t="s">
        <v>545</v>
      </c>
      <c r="B234" s="686" t="s">
        <v>566</v>
      </c>
      <c r="C234" s="686" t="s">
        <v>638</v>
      </c>
      <c r="D234" s="686" t="s">
        <v>639</v>
      </c>
      <c r="E234" s="667" t="s">
        <v>579</v>
      </c>
      <c r="F234" s="687"/>
      <c r="G234" s="668"/>
      <c r="H234" s="257"/>
      <c r="I234" s="278"/>
      <c r="J234" s="192"/>
    </row>
    <row r="235" spans="1:10" ht="31.5">
      <c r="A235" s="672"/>
      <c r="B235" s="686"/>
      <c r="C235" s="686"/>
      <c r="D235" s="686"/>
      <c r="E235" s="270" t="s">
        <v>640</v>
      </c>
      <c r="F235" s="271" t="s">
        <v>557</v>
      </c>
      <c r="G235" s="236" t="s">
        <v>563</v>
      </c>
      <c r="H235" s="272"/>
      <c r="I235" s="278"/>
      <c r="J235" s="192"/>
    </row>
    <row r="236" spans="1:10" ht="15.75">
      <c r="A236" s="281">
        <v>1</v>
      </c>
      <c r="B236" s="282">
        <v>2</v>
      </c>
      <c r="C236" s="282">
        <v>3</v>
      </c>
      <c r="D236" s="282">
        <v>4</v>
      </c>
      <c r="E236" s="274">
        <v>5</v>
      </c>
      <c r="F236" s="230">
        <v>6</v>
      </c>
      <c r="G236" s="229">
        <v>7</v>
      </c>
      <c r="H236" s="231"/>
      <c r="I236" s="278"/>
      <c r="J236" s="192"/>
    </row>
    <row r="237" spans="1:10" ht="15.75">
      <c r="A237" s="200"/>
      <c r="B237" s="196"/>
      <c r="C237" s="202"/>
      <c r="D237" s="202"/>
      <c r="E237" s="275"/>
      <c r="F237" s="255"/>
      <c r="G237" s="275"/>
      <c r="H237" s="276"/>
      <c r="I237" s="278"/>
      <c r="J237" s="192"/>
    </row>
    <row r="238" spans="1:10" ht="15.75">
      <c r="A238" s="200"/>
      <c r="B238" s="196"/>
      <c r="C238" s="202"/>
      <c r="D238" s="202"/>
      <c r="E238" s="275"/>
      <c r="F238" s="255"/>
      <c r="G238" s="275"/>
      <c r="H238" s="276"/>
      <c r="I238" s="278"/>
      <c r="J238" s="192"/>
    </row>
    <row r="239" spans="1:10" ht="15.75">
      <c r="A239" s="684" t="s">
        <v>561</v>
      </c>
      <c r="B239" s="685"/>
      <c r="C239" s="202" t="s">
        <v>562</v>
      </c>
      <c r="D239" s="202" t="s">
        <v>562</v>
      </c>
      <c r="E239" s="275"/>
      <c r="F239" s="255"/>
      <c r="G239" s="275"/>
      <c r="H239" s="276"/>
      <c r="I239" s="278"/>
      <c r="J239" s="192"/>
    </row>
    <row r="240" spans="1:10" ht="15.75">
      <c r="A240" s="237"/>
      <c r="B240" s="192"/>
      <c r="C240" s="237"/>
      <c r="D240" s="237"/>
      <c r="E240" s="237"/>
      <c r="F240" s="237"/>
      <c r="G240" s="192"/>
      <c r="H240" s="278"/>
      <c r="I240" s="278"/>
      <c r="J240" s="192"/>
    </row>
    <row r="241" spans="1:11" ht="36" customHeight="1">
      <c r="A241" s="693" t="s">
        <v>641</v>
      </c>
      <c r="B241" s="693"/>
      <c r="C241" s="693"/>
      <c r="D241" s="693"/>
      <c r="E241" s="693"/>
      <c r="F241" s="693"/>
      <c r="G241" s="693"/>
      <c r="H241" s="693"/>
      <c r="I241" s="693"/>
      <c r="J241" s="693"/>
      <c r="K241" s="693"/>
    </row>
    <row r="242" spans="1:10" ht="15.75">
      <c r="A242" s="237"/>
      <c r="B242" s="192"/>
      <c r="C242" s="237"/>
      <c r="D242" s="237"/>
      <c r="E242" s="237"/>
      <c r="F242" s="237"/>
      <c r="G242" s="192"/>
      <c r="H242" s="278"/>
      <c r="I242" s="278"/>
      <c r="J242" s="192"/>
    </row>
    <row r="243" spans="1:10" ht="15.75">
      <c r="A243" s="283"/>
      <c r="B243" s="283" t="s">
        <v>642</v>
      </c>
      <c r="C243" s="283"/>
      <c r="D243" s="283"/>
      <c r="E243" s="283"/>
      <c r="F243" s="283"/>
      <c r="G243" s="192"/>
      <c r="H243" s="278"/>
      <c r="I243" s="278"/>
      <c r="J243" s="192"/>
    </row>
    <row r="244" spans="1:10" ht="15.75">
      <c r="A244" s="237"/>
      <c r="B244" s="192"/>
      <c r="C244" s="237"/>
      <c r="D244" s="237"/>
      <c r="E244" s="237"/>
      <c r="F244" s="237"/>
      <c r="G244" s="192"/>
      <c r="H244" s="278"/>
      <c r="I244" s="278"/>
      <c r="J244" s="192"/>
    </row>
    <row r="245" spans="1:10" ht="15.75" customHeight="1">
      <c r="A245" s="671" t="s">
        <v>545</v>
      </c>
      <c r="B245" s="686" t="s">
        <v>1</v>
      </c>
      <c r="C245" s="686" t="s">
        <v>643</v>
      </c>
      <c r="D245" s="686" t="s">
        <v>644</v>
      </c>
      <c r="E245" s="686" t="s">
        <v>645</v>
      </c>
      <c r="F245" s="667" t="s">
        <v>579</v>
      </c>
      <c r="G245" s="687"/>
      <c r="H245" s="668"/>
      <c r="I245" s="257"/>
      <c r="J245" s="192"/>
    </row>
    <row r="246" spans="1:10" ht="47.25">
      <c r="A246" s="672"/>
      <c r="B246" s="686"/>
      <c r="C246" s="686"/>
      <c r="D246" s="686"/>
      <c r="E246" s="686"/>
      <c r="F246" s="269" t="s">
        <v>632</v>
      </c>
      <c r="G246" s="236" t="s">
        <v>557</v>
      </c>
      <c r="H246" s="236" t="s">
        <v>563</v>
      </c>
      <c r="I246" s="272"/>
      <c r="J246" s="192"/>
    </row>
    <row r="247" spans="1:10" ht="15.75">
      <c r="A247" s="201">
        <v>1</v>
      </c>
      <c r="B247" s="201">
        <v>2</v>
      </c>
      <c r="C247" s="201">
        <v>3</v>
      </c>
      <c r="D247" s="201">
        <v>4</v>
      </c>
      <c r="E247" s="201">
        <v>5</v>
      </c>
      <c r="F247" s="204">
        <v>6</v>
      </c>
      <c r="G247" s="229">
        <v>7</v>
      </c>
      <c r="H247" s="229">
        <v>8</v>
      </c>
      <c r="I247" s="231"/>
      <c r="J247" s="192"/>
    </row>
    <row r="248" spans="1:10" ht="15.75">
      <c r="A248" s="294" t="s">
        <v>608</v>
      </c>
      <c r="B248" s="295" t="s">
        <v>646</v>
      </c>
      <c r="C248" s="296">
        <f>675.25-5</f>
        <v>670.25</v>
      </c>
      <c r="D248" s="296">
        <v>1860.27</v>
      </c>
      <c r="E248" s="296">
        <v>0</v>
      </c>
      <c r="F248" s="297">
        <f>SUM(G248:H248)</f>
        <v>2015750.16</v>
      </c>
      <c r="G248" s="297">
        <v>0</v>
      </c>
      <c r="H248" s="265">
        <f>'раздел 3 (табл.2,3,4)'!I187+'раздел 3 (табл.2,3,4)'!I191</f>
        <v>2015750.16</v>
      </c>
      <c r="I248" s="276"/>
      <c r="J248" s="192"/>
    </row>
    <row r="249" spans="1:10" ht="15.75">
      <c r="A249" s="294" t="s">
        <v>588</v>
      </c>
      <c r="B249" s="298" t="s">
        <v>647</v>
      </c>
      <c r="C249" s="299">
        <f>97108-22684</f>
        <v>74424</v>
      </c>
      <c r="D249" s="299">
        <v>6.32</v>
      </c>
      <c r="E249" s="296">
        <v>0</v>
      </c>
      <c r="F249" s="297">
        <f>SUM(G249:H249)</f>
        <v>808583.6799999999</v>
      </c>
      <c r="G249" s="265"/>
      <c r="H249" s="265">
        <f>'раздел 3 (табл.2,3,4)'!I189+'раздел 3 (табл.2,3,4)'!I193</f>
        <v>808583.6799999999</v>
      </c>
      <c r="I249" s="276"/>
      <c r="J249" s="192"/>
    </row>
    <row r="250" spans="1:10" ht="31.5">
      <c r="A250" s="294" t="s">
        <v>599</v>
      </c>
      <c r="B250" s="298" t="s">
        <v>648</v>
      </c>
      <c r="C250" s="299">
        <v>3054</v>
      </c>
      <c r="D250" s="299">
        <v>40.98</v>
      </c>
      <c r="E250" s="296">
        <v>0</v>
      </c>
      <c r="F250" s="297">
        <f>SUM(G250:H250)</f>
        <v>269152.92</v>
      </c>
      <c r="G250" s="265"/>
      <c r="H250" s="265">
        <f>'раздел 3 (табл.2,3,4)'!I190+'раздел 3 (табл.2,3,4)'!I195</f>
        <v>269152.92</v>
      </c>
      <c r="I250" s="276"/>
      <c r="J250" s="192"/>
    </row>
    <row r="251" spans="1:10" ht="18.75">
      <c r="A251" s="688" t="s">
        <v>635</v>
      </c>
      <c r="B251" s="689"/>
      <c r="C251" s="300" t="s">
        <v>562</v>
      </c>
      <c r="D251" s="300" t="s">
        <v>562</v>
      </c>
      <c r="E251" s="300" t="s">
        <v>562</v>
      </c>
      <c r="F251" s="301">
        <f>SUM(F248:F250)</f>
        <v>3093486.76</v>
      </c>
      <c r="G251" s="301">
        <f>SUM(G248:G250)</f>
        <v>0</v>
      </c>
      <c r="H251" s="301">
        <f>SUM(H248:H250)</f>
        <v>3093486.76</v>
      </c>
      <c r="I251" s="276"/>
      <c r="J251" s="192"/>
    </row>
    <row r="252" spans="1:10" ht="15.75">
      <c r="A252" s="237"/>
      <c r="B252" s="192"/>
      <c r="C252" s="237"/>
      <c r="D252" s="237"/>
      <c r="E252" s="237"/>
      <c r="F252" s="237"/>
      <c r="G252" s="192"/>
      <c r="H252" s="278"/>
      <c r="I252" s="278"/>
      <c r="J252" s="192"/>
    </row>
    <row r="253" spans="1:10" ht="15.75" hidden="1">
      <c r="A253" s="283"/>
      <c r="B253" s="283" t="s">
        <v>859</v>
      </c>
      <c r="C253" s="283"/>
      <c r="D253" s="283"/>
      <c r="E253" s="283"/>
      <c r="F253" s="283"/>
      <c r="G253" s="192"/>
      <c r="H253" s="278"/>
      <c r="I253" s="278"/>
      <c r="J253" s="192"/>
    </row>
    <row r="254" spans="1:10" ht="15.75" hidden="1">
      <c r="A254" s="237"/>
      <c r="B254" s="192"/>
      <c r="C254" s="237"/>
      <c r="D254" s="237"/>
      <c r="E254" s="237"/>
      <c r="F254" s="237"/>
      <c r="G254" s="192"/>
      <c r="H254" s="278"/>
      <c r="I254" s="278"/>
      <c r="J254" s="192"/>
    </row>
    <row r="255" spans="1:10" ht="15.75" hidden="1">
      <c r="A255" s="671" t="s">
        <v>545</v>
      </c>
      <c r="B255" s="686" t="s">
        <v>1</v>
      </c>
      <c r="C255" s="686" t="s">
        <v>643</v>
      </c>
      <c r="D255" s="686" t="s">
        <v>644</v>
      </c>
      <c r="E255" s="686" t="s">
        <v>645</v>
      </c>
      <c r="F255" s="667" t="s">
        <v>579</v>
      </c>
      <c r="G255" s="687"/>
      <c r="H255" s="668"/>
      <c r="I255" s="257"/>
      <c r="J255" s="192"/>
    </row>
    <row r="256" spans="1:10" ht="47.25" hidden="1">
      <c r="A256" s="672"/>
      <c r="B256" s="686"/>
      <c r="C256" s="686"/>
      <c r="D256" s="686"/>
      <c r="E256" s="686"/>
      <c r="F256" s="269" t="s">
        <v>632</v>
      </c>
      <c r="G256" s="236" t="s">
        <v>557</v>
      </c>
      <c r="H256" s="236" t="s">
        <v>563</v>
      </c>
      <c r="I256" s="272"/>
      <c r="J256" s="192"/>
    </row>
    <row r="257" spans="1:10" ht="15.75" hidden="1">
      <c r="A257" s="201">
        <v>1</v>
      </c>
      <c r="B257" s="201">
        <v>2</v>
      </c>
      <c r="C257" s="201">
        <v>3</v>
      </c>
      <c r="D257" s="201">
        <v>4</v>
      </c>
      <c r="E257" s="201">
        <v>5</v>
      </c>
      <c r="F257" s="204">
        <v>6</v>
      </c>
      <c r="G257" s="229">
        <v>7</v>
      </c>
      <c r="H257" s="229">
        <v>8</v>
      </c>
      <c r="I257" s="231"/>
      <c r="J257" s="192"/>
    </row>
    <row r="258" spans="1:10" ht="15.75" hidden="1">
      <c r="A258" s="238" t="s">
        <v>608</v>
      </c>
      <c r="B258" s="298" t="s">
        <v>860</v>
      </c>
      <c r="C258" s="215"/>
      <c r="D258" s="215"/>
      <c r="E258" s="215"/>
      <c r="F258" s="520">
        <f>SUM(G258:H258)</f>
        <v>0</v>
      </c>
      <c r="G258" s="265">
        <v>0</v>
      </c>
      <c r="H258" s="265"/>
      <c r="I258" s="276"/>
      <c r="J258" s="192"/>
    </row>
    <row r="259" spans="1:10" ht="15.75" hidden="1">
      <c r="A259" s="238" t="s">
        <v>588</v>
      </c>
      <c r="B259" s="298" t="s">
        <v>861</v>
      </c>
      <c r="C259" s="215"/>
      <c r="D259" s="215"/>
      <c r="E259" s="215"/>
      <c r="F259" s="520">
        <f>SUM(G259:H259)</f>
        <v>0</v>
      </c>
      <c r="G259" s="265">
        <v>0</v>
      </c>
      <c r="H259" s="265"/>
      <c r="I259" s="276"/>
      <c r="J259" s="192"/>
    </row>
    <row r="260" spans="1:10" ht="31.5" hidden="1">
      <c r="A260" s="238" t="s">
        <v>599</v>
      </c>
      <c r="B260" s="298" t="s">
        <v>862</v>
      </c>
      <c r="C260" s="215"/>
      <c r="D260" s="215"/>
      <c r="E260" s="215"/>
      <c r="F260" s="520">
        <f>SUM(G260:H260)</f>
        <v>0</v>
      </c>
      <c r="G260" s="265">
        <v>0</v>
      </c>
      <c r="H260" s="265"/>
      <c r="I260" s="276"/>
      <c r="J260" s="192"/>
    </row>
    <row r="261" spans="1:10" ht="16.5" hidden="1">
      <c r="A261" s="691" t="s">
        <v>635</v>
      </c>
      <c r="B261" s="692"/>
      <c r="C261" s="215" t="s">
        <v>562</v>
      </c>
      <c r="D261" s="215" t="s">
        <v>562</v>
      </c>
      <c r="E261" s="215" t="s">
        <v>562</v>
      </c>
      <c r="F261" s="525">
        <f>SUM(F258:F260)</f>
        <v>0</v>
      </c>
      <c r="G261" s="525">
        <f>SUM(G258:G260)</f>
        <v>0</v>
      </c>
      <c r="H261" s="525">
        <f>SUM(H258:H260)</f>
        <v>0</v>
      </c>
      <c r="I261" s="276"/>
      <c r="J261" s="192"/>
    </row>
    <row r="262" spans="1:10" ht="15.75">
      <c r="A262" s="237"/>
      <c r="B262" s="192"/>
      <c r="C262" s="237"/>
      <c r="D262" s="237"/>
      <c r="E262" s="237"/>
      <c r="F262" s="237"/>
      <c r="G262" s="192"/>
      <c r="H262" s="278"/>
      <c r="I262" s="278"/>
      <c r="J262" s="192"/>
    </row>
    <row r="263" spans="1:11" ht="66.75" customHeight="1">
      <c r="A263" s="683" t="s">
        <v>649</v>
      </c>
      <c r="B263" s="693"/>
      <c r="C263" s="693"/>
      <c r="D263" s="693"/>
      <c r="E263" s="693"/>
      <c r="F263" s="693"/>
      <c r="G263" s="693"/>
      <c r="H263" s="693"/>
      <c r="I263" s="693"/>
      <c r="J263" s="693"/>
      <c r="K263" s="693"/>
    </row>
    <row r="264" spans="1:10" ht="15.75">
      <c r="A264" s="237"/>
      <c r="B264" s="192"/>
      <c r="C264" s="237"/>
      <c r="D264" s="237"/>
      <c r="E264" s="237"/>
      <c r="F264" s="237"/>
      <c r="G264" s="192"/>
      <c r="H264" s="278"/>
      <c r="I264" s="278"/>
      <c r="J264" s="192"/>
    </row>
    <row r="265" spans="1:10" ht="15.75">
      <c r="A265" s="283"/>
      <c r="B265" s="283" t="s">
        <v>650</v>
      </c>
      <c r="C265" s="283"/>
      <c r="D265" s="283"/>
      <c r="E265" s="283"/>
      <c r="F265" s="237"/>
      <c r="G265" s="192"/>
      <c r="H265" s="278"/>
      <c r="I265" s="278"/>
      <c r="J265" s="192"/>
    </row>
    <row r="266" spans="1:10" ht="15.75">
      <c r="A266" s="237"/>
      <c r="B266" s="192"/>
      <c r="C266" s="237"/>
      <c r="D266" s="237"/>
      <c r="E266" s="237"/>
      <c r="F266" s="237"/>
      <c r="G266" s="192"/>
      <c r="H266" s="278"/>
      <c r="I266" s="278"/>
      <c r="J266" s="192"/>
    </row>
    <row r="267" spans="1:10" ht="15.75">
      <c r="A267" s="671" t="s">
        <v>545</v>
      </c>
      <c r="B267" s="686" t="s">
        <v>1</v>
      </c>
      <c r="C267" s="686" t="s">
        <v>651</v>
      </c>
      <c r="D267" s="686" t="s">
        <v>652</v>
      </c>
      <c r="E267" s="667" t="s">
        <v>579</v>
      </c>
      <c r="F267" s="687"/>
      <c r="G267" s="668"/>
      <c r="H267" s="257"/>
      <c r="I267" s="278"/>
      <c r="J267" s="192"/>
    </row>
    <row r="268" spans="1:10" ht="47.25">
      <c r="A268" s="672"/>
      <c r="B268" s="686"/>
      <c r="C268" s="686"/>
      <c r="D268" s="686"/>
      <c r="E268" s="270" t="s">
        <v>653</v>
      </c>
      <c r="F268" s="271" t="s">
        <v>557</v>
      </c>
      <c r="G268" s="236" t="s">
        <v>563</v>
      </c>
      <c r="H268" s="272"/>
      <c r="I268" s="278"/>
      <c r="J268" s="192"/>
    </row>
    <row r="269" spans="1:10" ht="15.75">
      <c r="A269" s="281">
        <v>1</v>
      </c>
      <c r="B269" s="282">
        <v>2</v>
      </c>
      <c r="C269" s="282">
        <v>3</v>
      </c>
      <c r="D269" s="282">
        <v>4</v>
      </c>
      <c r="E269" s="274">
        <v>5</v>
      </c>
      <c r="F269" s="230">
        <v>5</v>
      </c>
      <c r="G269" s="229">
        <v>6</v>
      </c>
      <c r="H269" s="231"/>
      <c r="I269" s="278"/>
      <c r="J269" s="192"/>
    </row>
    <row r="270" spans="1:10" ht="15.75">
      <c r="A270" s="200"/>
      <c r="B270" s="196"/>
      <c r="C270" s="202"/>
      <c r="D270" s="202"/>
      <c r="E270" s="275"/>
      <c r="F270" s="255"/>
      <c r="G270" s="275"/>
      <c r="H270" s="276"/>
      <c r="I270" s="278"/>
      <c r="J270" s="192"/>
    </row>
    <row r="271" spans="1:10" ht="15.75">
      <c r="A271" s="200"/>
      <c r="B271" s="196"/>
      <c r="C271" s="202"/>
      <c r="D271" s="202"/>
      <c r="E271" s="275"/>
      <c r="F271" s="255"/>
      <c r="G271" s="275"/>
      <c r="H271" s="276"/>
      <c r="I271" s="278"/>
      <c r="J271" s="192"/>
    </row>
    <row r="272" spans="1:10" ht="15.75">
      <c r="A272" s="684" t="s">
        <v>561</v>
      </c>
      <c r="B272" s="685"/>
      <c r="C272" s="202" t="s">
        <v>562</v>
      </c>
      <c r="D272" s="202" t="s">
        <v>562</v>
      </c>
      <c r="E272" s="275" t="s">
        <v>562</v>
      </c>
      <c r="F272" s="255"/>
      <c r="G272" s="275"/>
      <c r="H272" s="276"/>
      <c r="I272" s="278"/>
      <c r="J272" s="192"/>
    </row>
    <row r="273" spans="1:10" ht="15.75">
      <c r="A273" s="237"/>
      <c r="B273" s="192"/>
      <c r="C273" s="237"/>
      <c r="D273" s="237"/>
      <c r="E273" s="237"/>
      <c r="F273" s="237"/>
      <c r="G273" s="192"/>
      <c r="H273" s="278"/>
      <c r="I273" s="278"/>
      <c r="J273" s="192"/>
    </row>
    <row r="274" spans="1:11" ht="48" customHeight="1">
      <c r="A274" s="690" t="s">
        <v>654</v>
      </c>
      <c r="B274" s="690"/>
      <c r="C274" s="690"/>
      <c r="D274" s="690"/>
      <c r="E274" s="690"/>
      <c r="F274" s="690"/>
      <c r="G274" s="690"/>
      <c r="H274" s="690"/>
      <c r="I274" s="690"/>
      <c r="J274" s="690"/>
      <c r="K274" s="690"/>
    </row>
    <row r="275" spans="1:10" ht="15.75">
      <c r="A275" s="237"/>
      <c r="B275" s="192"/>
      <c r="C275" s="237"/>
      <c r="D275" s="237"/>
      <c r="E275" s="237"/>
      <c r="F275" s="237"/>
      <c r="G275" s="192"/>
      <c r="H275" s="278"/>
      <c r="I275" s="278"/>
      <c r="J275" s="192"/>
    </row>
    <row r="276" spans="1:10" ht="15.75">
      <c r="A276" s="283"/>
      <c r="B276" s="283" t="s">
        <v>655</v>
      </c>
      <c r="C276" s="283"/>
      <c r="D276" s="283"/>
      <c r="E276" s="283"/>
      <c r="F276" s="283"/>
      <c r="G276" s="192"/>
      <c r="H276" s="278"/>
      <c r="I276" s="278"/>
      <c r="J276" s="192"/>
    </row>
    <row r="277" spans="1:10" ht="15.75">
      <c r="A277" s="237"/>
      <c r="B277" s="192"/>
      <c r="C277" s="237"/>
      <c r="D277" s="237"/>
      <c r="E277" s="237"/>
      <c r="F277" s="237"/>
      <c r="G277" s="192"/>
      <c r="H277" s="278"/>
      <c r="I277" s="278"/>
      <c r="J277" s="192"/>
    </row>
    <row r="278" spans="1:10" ht="15.75">
      <c r="A278" s="671" t="s">
        <v>545</v>
      </c>
      <c r="B278" s="686" t="s">
        <v>566</v>
      </c>
      <c r="C278" s="686" t="s">
        <v>656</v>
      </c>
      <c r="D278" s="686" t="s">
        <v>657</v>
      </c>
      <c r="E278" s="667" t="s">
        <v>579</v>
      </c>
      <c r="F278" s="687"/>
      <c r="G278" s="668"/>
      <c r="H278" s="257"/>
      <c r="I278" s="278"/>
      <c r="J278" s="192"/>
    </row>
    <row r="279" spans="1:10" ht="47.25">
      <c r="A279" s="672"/>
      <c r="B279" s="686"/>
      <c r="C279" s="686"/>
      <c r="D279" s="686"/>
      <c r="E279" s="270" t="s">
        <v>658</v>
      </c>
      <c r="F279" s="271" t="s">
        <v>557</v>
      </c>
      <c r="G279" s="236" t="s">
        <v>563</v>
      </c>
      <c r="H279" s="272"/>
      <c r="I279" s="278"/>
      <c r="J279" s="192"/>
    </row>
    <row r="280" spans="1:10" ht="15.75">
      <c r="A280" s="281">
        <v>1</v>
      </c>
      <c r="B280" s="282">
        <v>2</v>
      </c>
      <c r="C280" s="282">
        <v>3</v>
      </c>
      <c r="D280" s="282">
        <v>4</v>
      </c>
      <c r="E280" s="274">
        <v>5</v>
      </c>
      <c r="F280" s="230">
        <v>5</v>
      </c>
      <c r="G280" s="229">
        <v>6</v>
      </c>
      <c r="H280" s="231"/>
      <c r="I280" s="278"/>
      <c r="J280" s="192"/>
    </row>
    <row r="281" spans="1:10" ht="15.75">
      <c r="A281" s="281">
        <v>1</v>
      </c>
      <c r="B281" s="302" t="s">
        <v>659</v>
      </c>
      <c r="C281" s="282" t="s">
        <v>660</v>
      </c>
      <c r="D281" s="303">
        <v>24</v>
      </c>
      <c r="E281" s="304">
        <f>SUM(F281:G281)</f>
        <v>35098.29</v>
      </c>
      <c r="F281" s="304">
        <v>0</v>
      </c>
      <c r="G281" s="304">
        <v>35098.29</v>
      </c>
      <c r="H281" s="231"/>
      <c r="I281" s="278"/>
      <c r="J281" s="192"/>
    </row>
    <row r="282" spans="1:10" ht="15.75">
      <c r="A282" s="281">
        <v>2</v>
      </c>
      <c r="B282" s="302" t="s">
        <v>661</v>
      </c>
      <c r="C282" s="282" t="s">
        <v>660</v>
      </c>
      <c r="D282" s="303">
        <v>3117.73</v>
      </c>
      <c r="E282" s="304">
        <f aca="true" t="shared" si="0" ref="E282:E292">SUM(F282:G282)</f>
        <v>33342.32</v>
      </c>
      <c r="F282" s="304">
        <v>0</v>
      </c>
      <c r="G282" s="304">
        <v>33342.32</v>
      </c>
      <c r="H282" s="231"/>
      <c r="I282" s="278"/>
      <c r="J282" s="192"/>
    </row>
    <row r="283" spans="1:10" ht="31.5">
      <c r="A283" s="281">
        <v>3</v>
      </c>
      <c r="B283" s="302" t="s">
        <v>662</v>
      </c>
      <c r="C283" s="282" t="s">
        <v>660</v>
      </c>
      <c r="D283" s="303">
        <v>12</v>
      </c>
      <c r="E283" s="304">
        <f t="shared" si="0"/>
        <v>99600</v>
      </c>
      <c r="F283" s="304">
        <v>0</v>
      </c>
      <c r="G283" s="304">
        <v>99600</v>
      </c>
      <c r="H283" s="231"/>
      <c r="I283" s="278"/>
      <c r="J283" s="192"/>
    </row>
    <row r="284" spans="1:10" ht="31.5">
      <c r="A284" s="281">
        <v>4</v>
      </c>
      <c r="B284" s="302" t="s">
        <v>662</v>
      </c>
      <c r="C284" s="282" t="s">
        <v>660</v>
      </c>
      <c r="D284" s="303">
        <v>12</v>
      </c>
      <c r="E284" s="304">
        <f t="shared" si="0"/>
        <v>34800</v>
      </c>
      <c r="F284" s="304">
        <v>0</v>
      </c>
      <c r="G284" s="304">
        <v>34800</v>
      </c>
      <c r="H284" s="231"/>
      <c r="I284" s="278"/>
      <c r="J284" s="192"/>
    </row>
    <row r="285" spans="1:10" ht="15.75">
      <c r="A285" s="281">
        <v>5</v>
      </c>
      <c r="B285" s="302" t="s">
        <v>663</v>
      </c>
      <c r="C285" s="282" t="s">
        <v>660</v>
      </c>
      <c r="D285" s="303">
        <v>12</v>
      </c>
      <c r="E285" s="304">
        <f t="shared" si="0"/>
        <v>653000</v>
      </c>
      <c r="F285" s="304">
        <v>0</v>
      </c>
      <c r="G285" s="304">
        <f>363000+290000</f>
        <v>653000</v>
      </c>
      <c r="H285" s="231"/>
      <c r="I285" s="278"/>
      <c r="J285" s="192"/>
    </row>
    <row r="286" spans="1:10" ht="31.5">
      <c r="A286" s="281">
        <v>6</v>
      </c>
      <c r="B286" s="302" t="s">
        <v>664</v>
      </c>
      <c r="C286" s="282" t="s">
        <v>660</v>
      </c>
      <c r="D286" s="303">
        <v>12</v>
      </c>
      <c r="E286" s="304">
        <f t="shared" si="0"/>
        <v>335972.86</v>
      </c>
      <c r="F286" s="304">
        <f>134297.86-1352-5176</f>
        <v>127769.85999999999</v>
      </c>
      <c r="G286" s="304">
        <v>208203</v>
      </c>
      <c r="H286" s="231"/>
      <c r="I286" s="278"/>
      <c r="J286" s="192"/>
    </row>
    <row r="287" spans="1:10" ht="15.75">
      <c r="A287" s="281">
        <v>7</v>
      </c>
      <c r="B287" s="302" t="s">
        <v>665</v>
      </c>
      <c r="C287" s="282" t="s">
        <v>660</v>
      </c>
      <c r="D287" s="303">
        <v>1</v>
      </c>
      <c r="E287" s="304">
        <f t="shared" si="0"/>
        <v>11000</v>
      </c>
      <c r="F287" s="304">
        <v>0</v>
      </c>
      <c r="G287" s="304">
        <v>11000</v>
      </c>
      <c r="H287" s="231"/>
      <c r="I287" s="278"/>
      <c r="J287" s="192"/>
    </row>
    <row r="288" spans="1:10" ht="15.75">
      <c r="A288" s="281">
        <v>8</v>
      </c>
      <c r="B288" s="302" t="s">
        <v>666</v>
      </c>
      <c r="C288" s="282" t="s">
        <v>660</v>
      </c>
      <c r="D288" s="303">
        <v>1</v>
      </c>
      <c r="E288" s="304">
        <f t="shared" si="0"/>
        <v>31000</v>
      </c>
      <c r="F288" s="304">
        <v>0</v>
      </c>
      <c r="G288" s="304">
        <v>31000</v>
      </c>
      <c r="H288" s="231"/>
      <c r="I288" s="278"/>
      <c r="J288" s="192"/>
    </row>
    <row r="289" spans="1:10" ht="15.75">
      <c r="A289" s="281">
        <v>9</v>
      </c>
      <c r="B289" s="302" t="s">
        <v>667</v>
      </c>
      <c r="C289" s="282" t="s">
        <v>660</v>
      </c>
      <c r="D289" s="303">
        <v>12</v>
      </c>
      <c r="E289" s="304">
        <f t="shared" si="0"/>
        <v>18000</v>
      </c>
      <c r="F289" s="304">
        <v>0</v>
      </c>
      <c r="G289" s="304">
        <v>18000</v>
      </c>
      <c r="H289" s="231"/>
      <c r="I289" s="278"/>
      <c r="J289" s="192"/>
    </row>
    <row r="290" spans="1:10" ht="15.75">
      <c r="A290" s="281">
        <v>10</v>
      </c>
      <c r="B290" s="302" t="s">
        <v>668</v>
      </c>
      <c r="C290" s="282" t="s">
        <v>660</v>
      </c>
      <c r="D290" s="303">
        <v>1</v>
      </c>
      <c r="E290" s="304">
        <f t="shared" si="0"/>
        <v>60000</v>
      </c>
      <c r="F290" s="304">
        <v>0</v>
      </c>
      <c r="G290" s="304">
        <v>60000</v>
      </c>
      <c r="H290" s="231"/>
      <c r="I290" s="278"/>
      <c r="J290" s="192"/>
    </row>
    <row r="291" spans="1:10" ht="31.5">
      <c r="A291" s="281">
        <v>11</v>
      </c>
      <c r="B291" s="302" t="s">
        <v>669</v>
      </c>
      <c r="C291" s="282" t="s">
        <v>660</v>
      </c>
      <c r="D291" s="303">
        <v>6</v>
      </c>
      <c r="E291" s="304">
        <f t="shared" si="0"/>
        <v>556474.4</v>
      </c>
      <c r="F291" s="304">
        <v>0</v>
      </c>
      <c r="G291" s="304">
        <f>866282.74-7296.84-2948.67+153338.31-62576.47-62960.41-300000-23614.26-3750</f>
        <v>556474.4</v>
      </c>
      <c r="H291" s="231"/>
      <c r="I291" s="278"/>
      <c r="J291" s="192"/>
    </row>
    <row r="292" spans="1:10" ht="15.75">
      <c r="A292" s="281">
        <v>12</v>
      </c>
      <c r="B292" s="302" t="s">
        <v>670</v>
      </c>
      <c r="C292" s="282" t="s">
        <v>660</v>
      </c>
      <c r="D292" s="303">
        <v>4</v>
      </c>
      <c r="E292" s="304">
        <f t="shared" si="0"/>
        <v>70000</v>
      </c>
      <c r="F292" s="304">
        <v>0</v>
      </c>
      <c r="G292" s="304">
        <v>70000</v>
      </c>
      <c r="H292" s="231"/>
      <c r="I292" s="278"/>
      <c r="J292" s="192"/>
    </row>
    <row r="293" spans="1:10" ht="31.5">
      <c r="A293" s="551">
        <v>13</v>
      </c>
      <c r="B293" s="302" t="s">
        <v>864</v>
      </c>
      <c r="C293" s="531" t="s">
        <v>865</v>
      </c>
      <c r="D293" s="532">
        <v>12</v>
      </c>
      <c r="E293" s="304">
        <f>SUM(F293:G293)</f>
        <v>11599.68</v>
      </c>
      <c r="F293" s="304">
        <v>0</v>
      </c>
      <c r="G293" s="556">
        <v>11599.68</v>
      </c>
      <c r="H293" s="231"/>
      <c r="I293" s="278"/>
      <c r="J293" s="192"/>
    </row>
    <row r="294" spans="1:10" ht="63">
      <c r="A294" s="551">
        <v>14</v>
      </c>
      <c r="B294" s="302" t="s">
        <v>866</v>
      </c>
      <c r="C294" s="531" t="s">
        <v>867</v>
      </c>
      <c r="D294" s="532">
        <v>12</v>
      </c>
      <c r="E294" s="304">
        <f aca="true" t="shared" si="1" ref="E294:E307">SUM(F294:G294)</f>
        <v>24000</v>
      </c>
      <c r="F294" s="304">
        <v>0</v>
      </c>
      <c r="G294" s="556">
        <v>24000</v>
      </c>
      <c r="H294" s="231"/>
      <c r="I294" s="278"/>
      <c r="J294" s="192"/>
    </row>
    <row r="295" spans="1:10" ht="31.5">
      <c r="A295" s="551">
        <v>15</v>
      </c>
      <c r="B295" s="302" t="s">
        <v>868</v>
      </c>
      <c r="C295" s="531" t="s">
        <v>869</v>
      </c>
      <c r="D295" s="532">
        <v>12</v>
      </c>
      <c r="E295" s="304">
        <f t="shared" si="1"/>
        <v>39600</v>
      </c>
      <c r="F295" s="304">
        <v>0</v>
      </c>
      <c r="G295" s="556">
        <v>39600</v>
      </c>
      <c r="H295" s="231"/>
      <c r="I295" s="278"/>
      <c r="J295" s="192"/>
    </row>
    <row r="296" spans="1:10" ht="78.75">
      <c r="A296" s="551">
        <v>16</v>
      </c>
      <c r="B296" s="302" t="s">
        <v>870</v>
      </c>
      <c r="C296" s="531" t="s">
        <v>871</v>
      </c>
      <c r="D296" s="532">
        <v>12</v>
      </c>
      <c r="E296" s="304">
        <f t="shared" si="1"/>
        <v>96000</v>
      </c>
      <c r="F296" s="304">
        <v>0</v>
      </c>
      <c r="G296" s="556">
        <v>96000</v>
      </c>
      <c r="H296" s="231"/>
      <c r="I296" s="278"/>
      <c r="J296" s="192"/>
    </row>
    <row r="297" spans="1:10" ht="63">
      <c r="A297" s="551">
        <v>17</v>
      </c>
      <c r="B297" s="302" t="s">
        <v>872</v>
      </c>
      <c r="C297" s="531" t="s">
        <v>873</v>
      </c>
      <c r="D297" s="532">
        <v>4</v>
      </c>
      <c r="E297" s="304">
        <f t="shared" si="1"/>
        <v>4800</v>
      </c>
      <c r="F297" s="304">
        <v>0</v>
      </c>
      <c r="G297" s="556">
        <v>4800</v>
      </c>
      <c r="H297" s="231"/>
      <c r="I297" s="278"/>
      <c r="J297" s="192"/>
    </row>
    <row r="298" spans="1:10" ht="15.75">
      <c r="A298" s="551">
        <v>18</v>
      </c>
      <c r="B298" s="302" t="s">
        <v>874</v>
      </c>
      <c r="C298" s="531" t="s">
        <v>875</v>
      </c>
      <c r="D298" s="532">
        <v>12</v>
      </c>
      <c r="E298" s="304">
        <f t="shared" si="1"/>
        <v>37200</v>
      </c>
      <c r="F298" s="304">
        <v>0</v>
      </c>
      <c r="G298" s="556">
        <v>37200</v>
      </c>
      <c r="H298" s="231"/>
      <c r="I298" s="278"/>
      <c r="J298" s="192"/>
    </row>
    <row r="299" spans="1:10" ht="78.75">
      <c r="A299" s="551">
        <v>19</v>
      </c>
      <c r="B299" s="302" t="s">
        <v>876</v>
      </c>
      <c r="C299" s="514" t="s">
        <v>877</v>
      </c>
      <c r="D299" s="203">
        <v>12</v>
      </c>
      <c r="E299" s="304">
        <f t="shared" si="1"/>
        <v>14400</v>
      </c>
      <c r="F299" s="304">
        <v>0</v>
      </c>
      <c r="G299" s="556">
        <v>14400</v>
      </c>
      <c r="H299" s="231"/>
      <c r="I299" s="278"/>
      <c r="J299" s="192"/>
    </row>
    <row r="300" spans="1:10" ht="25.5">
      <c r="A300" s="551">
        <v>20</v>
      </c>
      <c r="B300" s="302" t="s">
        <v>878</v>
      </c>
      <c r="C300" s="514" t="s">
        <v>879</v>
      </c>
      <c r="D300" s="203">
        <v>7</v>
      </c>
      <c r="E300" s="304">
        <f t="shared" si="1"/>
        <v>19000</v>
      </c>
      <c r="F300" s="304">
        <v>0</v>
      </c>
      <c r="G300" s="556">
        <v>19000</v>
      </c>
      <c r="H300" s="231"/>
      <c r="I300" s="278"/>
      <c r="J300" s="192"/>
    </row>
    <row r="301" spans="1:10" ht="78.75">
      <c r="A301" s="551">
        <v>21</v>
      </c>
      <c r="B301" s="302" t="s">
        <v>880</v>
      </c>
      <c r="C301" s="514" t="s">
        <v>881</v>
      </c>
      <c r="D301" s="203">
        <v>12</v>
      </c>
      <c r="E301" s="304">
        <f t="shared" si="1"/>
        <v>87699</v>
      </c>
      <c r="F301" s="304">
        <v>0</v>
      </c>
      <c r="G301" s="556">
        <v>87699</v>
      </c>
      <c r="H301" s="231"/>
      <c r="I301" s="278"/>
      <c r="J301" s="192"/>
    </row>
    <row r="302" spans="1:10" ht="63">
      <c r="A302" s="551">
        <v>22</v>
      </c>
      <c r="B302" s="302" t="s">
        <v>882</v>
      </c>
      <c r="C302" s="514" t="s">
        <v>883</v>
      </c>
      <c r="D302" s="203">
        <v>12</v>
      </c>
      <c r="E302" s="304">
        <f t="shared" si="1"/>
        <v>4989.6</v>
      </c>
      <c r="F302" s="304">
        <v>0</v>
      </c>
      <c r="G302" s="556">
        <v>4989.6</v>
      </c>
      <c r="H302" s="231"/>
      <c r="I302" s="278"/>
      <c r="J302" s="192"/>
    </row>
    <row r="303" spans="1:10" ht="25.5">
      <c r="A303" s="551">
        <v>23</v>
      </c>
      <c r="B303" s="302" t="s">
        <v>884</v>
      </c>
      <c r="C303" s="514" t="s">
        <v>885</v>
      </c>
      <c r="D303" s="203">
        <v>12</v>
      </c>
      <c r="E303" s="304">
        <f t="shared" si="1"/>
        <v>70800</v>
      </c>
      <c r="F303" s="304">
        <v>0</v>
      </c>
      <c r="G303" s="556">
        <v>70800</v>
      </c>
      <c r="H303" s="231"/>
      <c r="I303" s="278"/>
      <c r="J303" s="192"/>
    </row>
    <row r="304" spans="1:10" ht="15.75">
      <c r="A304" s="551">
        <v>24</v>
      </c>
      <c r="B304" s="302" t="s">
        <v>886</v>
      </c>
      <c r="C304" s="514" t="s">
        <v>887</v>
      </c>
      <c r="D304" s="203">
        <v>1</v>
      </c>
      <c r="E304" s="304">
        <f t="shared" si="1"/>
        <v>20000</v>
      </c>
      <c r="F304" s="304">
        <v>0</v>
      </c>
      <c r="G304" s="556">
        <v>20000</v>
      </c>
      <c r="H304" s="231"/>
      <c r="I304" s="278"/>
      <c r="J304" s="192"/>
    </row>
    <row r="305" spans="1:10" ht="31.5">
      <c r="A305" s="551">
        <v>25</v>
      </c>
      <c r="B305" s="302" t="s">
        <v>888</v>
      </c>
      <c r="C305" s="514"/>
      <c r="D305" s="203">
        <v>1</v>
      </c>
      <c r="E305" s="304">
        <f t="shared" si="1"/>
        <v>25000</v>
      </c>
      <c r="F305" s="304">
        <v>0</v>
      </c>
      <c r="G305" s="556">
        <v>25000</v>
      </c>
      <c r="H305" s="231"/>
      <c r="I305" s="278"/>
      <c r="J305" s="192"/>
    </row>
    <row r="306" spans="1:10" ht="15.75">
      <c r="A306" s="551">
        <v>26</v>
      </c>
      <c r="B306" s="302" t="s">
        <v>889</v>
      </c>
      <c r="C306" s="514"/>
      <c r="D306" s="203">
        <v>1</v>
      </c>
      <c r="E306" s="304">
        <f t="shared" si="1"/>
        <v>50012.93</v>
      </c>
      <c r="F306" s="304">
        <v>0</v>
      </c>
      <c r="G306" s="556">
        <f>52000-1987.07</f>
        <v>50012.93</v>
      </c>
      <c r="H306" s="231"/>
      <c r="I306" s="278"/>
      <c r="J306" s="192"/>
    </row>
    <row r="307" spans="1:10" ht="15.75">
      <c r="A307" s="551">
        <v>27</v>
      </c>
      <c r="B307" s="302" t="s">
        <v>890</v>
      </c>
      <c r="C307" s="514"/>
      <c r="D307" s="203">
        <v>1</v>
      </c>
      <c r="E307" s="304">
        <f t="shared" si="1"/>
        <v>8373.61</v>
      </c>
      <c r="F307" s="304">
        <v>0</v>
      </c>
      <c r="G307" s="556">
        <v>8373.61</v>
      </c>
      <c r="H307" s="231"/>
      <c r="I307" s="278"/>
      <c r="J307" s="192"/>
    </row>
    <row r="308" spans="1:10" ht="15.75">
      <c r="A308" s="551"/>
      <c r="B308" s="552"/>
      <c r="C308" s="282"/>
      <c r="D308" s="545"/>
      <c r="E308" s="304"/>
      <c r="F308" s="332"/>
      <c r="G308" s="304"/>
      <c r="H308" s="231"/>
      <c r="I308" s="278"/>
      <c r="J308" s="192"/>
    </row>
    <row r="309" spans="1:10" ht="15.75">
      <c r="A309" s="551"/>
      <c r="B309" s="552"/>
      <c r="C309" s="282"/>
      <c r="D309" s="545"/>
      <c r="E309" s="304"/>
      <c r="F309" s="332"/>
      <c r="G309" s="304"/>
      <c r="H309" s="231"/>
      <c r="I309" s="278"/>
      <c r="J309" s="192"/>
    </row>
    <row r="310" spans="1:10" ht="15.75">
      <c r="A310" s="551"/>
      <c r="B310" s="552"/>
      <c r="C310" s="282"/>
      <c r="D310" s="545"/>
      <c r="E310" s="304"/>
      <c r="F310" s="332"/>
      <c r="G310" s="304"/>
      <c r="H310" s="231"/>
      <c r="I310" s="278"/>
      <c r="J310" s="192"/>
    </row>
    <row r="311" spans="1:10" ht="18.75">
      <c r="A311" s="688" t="s">
        <v>561</v>
      </c>
      <c r="B311" s="689"/>
      <c r="C311" s="305" t="s">
        <v>562</v>
      </c>
      <c r="D311" s="305" t="s">
        <v>562</v>
      </c>
      <c r="E311" s="306">
        <f>SUM(E281:E307)</f>
        <v>2451762.69</v>
      </c>
      <c r="F311" s="307">
        <f>SUM(F281:F307)</f>
        <v>127769.85999999999</v>
      </c>
      <c r="G311" s="306">
        <f>SUM(G281:G307)</f>
        <v>2323992.8299999996</v>
      </c>
      <c r="H311" s="231"/>
      <c r="I311" s="278"/>
      <c r="J311" s="192"/>
    </row>
    <row r="312" spans="1:10" ht="18.75">
      <c r="A312" s="400"/>
      <c r="B312" s="401"/>
      <c r="C312" s="402"/>
      <c r="D312" s="402"/>
      <c r="E312" s="306"/>
      <c r="F312" s="307"/>
      <c r="G312" s="306"/>
      <c r="H312" s="231"/>
      <c r="I312" s="278"/>
      <c r="J312" s="192"/>
    </row>
    <row r="313" spans="1:10" ht="15.75">
      <c r="A313" s="281">
        <v>11</v>
      </c>
      <c r="B313" s="302" t="s">
        <v>749</v>
      </c>
      <c r="C313" s="282" t="s">
        <v>660</v>
      </c>
      <c r="D313" s="303">
        <v>6</v>
      </c>
      <c r="E313" s="304">
        <f>SUM(F313:G313)</f>
        <v>962846.06</v>
      </c>
      <c r="F313" s="304">
        <v>0</v>
      </c>
      <c r="G313" s="304">
        <f>300000+662846.06</f>
        <v>962846.06</v>
      </c>
      <c r="H313" s="231"/>
      <c r="I313" s="278"/>
      <c r="J313" s="192"/>
    </row>
    <row r="314" spans="1:10" ht="18.75">
      <c r="A314" s="688" t="s">
        <v>561</v>
      </c>
      <c r="B314" s="689"/>
      <c r="C314" s="305" t="s">
        <v>562</v>
      </c>
      <c r="D314" s="305" t="s">
        <v>562</v>
      </c>
      <c r="E314" s="306">
        <f>SUM(E313)</f>
        <v>962846.06</v>
      </c>
      <c r="F314" s="307">
        <f>SUM(F313)</f>
        <v>0</v>
      </c>
      <c r="G314" s="306">
        <f>SUM(G313)</f>
        <v>962846.06</v>
      </c>
      <c r="H314" s="231"/>
      <c r="I314" s="278"/>
      <c r="J314" s="192"/>
    </row>
    <row r="315" spans="1:10" ht="18.75">
      <c r="A315" s="528"/>
      <c r="B315" s="528"/>
      <c r="C315" s="529"/>
      <c r="D315" s="529"/>
      <c r="E315" s="530"/>
      <c r="F315" s="530"/>
      <c r="G315" s="530"/>
      <c r="H315" s="231"/>
      <c r="I315" s="278"/>
      <c r="J315" s="192"/>
    </row>
    <row r="316" spans="1:10" ht="15.75" hidden="1">
      <c r="A316" s="283"/>
      <c r="B316" s="283" t="s">
        <v>863</v>
      </c>
      <c r="C316" s="283"/>
      <c r="D316" s="283"/>
      <c r="E316" s="283"/>
      <c r="F316" s="283"/>
      <c r="G316" s="192"/>
      <c r="H316" s="278"/>
      <c r="I316" s="278"/>
      <c r="J316" s="192"/>
    </row>
    <row r="317" spans="1:10" ht="15.75" hidden="1">
      <c r="A317" s="237"/>
      <c r="B317" s="192"/>
      <c r="C317" s="237"/>
      <c r="D317" s="237"/>
      <c r="E317" s="237"/>
      <c r="F317" s="237"/>
      <c r="G317" s="192"/>
      <c r="H317" s="278"/>
      <c r="I317" s="278"/>
      <c r="J317" s="192"/>
    </row>
    <row r="318" spans="1:10" ht="15.75" hidden="1">
      <c r="A318" s="671" t="s">
        <v>545</v>
      </c>
      <c r="B318" s="686" t="s">
        <v>566</v>
      </c>
      <c r="C318" s="686" t="s">
        <v>656</v>
      </c>
      <c r="D318" s="686" t="s">
        <v>657</v>
      </c>
      <c r="E318" s="667" t="s">
        <v>579</v>
      </c>
      <c r="F318" s="687"/>
      <c r="G318" s="668"/>
      <c r="H318" s="257"/>
      <c r="I318" s="278"/>
      <c r="J318" s="192"/>
    </row>
    <row r="319" spans="1:10" ht="47.25" hidden="1">
      <c r="A319" s="672"/>
      <c r="B319" s="686"/>
      <c r="C319" s="686"/>
      <c r="D319" s="686"/>
      <c r="E319" s="270" t="s">
        <v>658</v>
      </c>
      <c r="F319" s="271" t="s">
        <v>557</v>
      </c>
      <c r="G319" s="236" t="s">
        <v>563</v>
      </c>
      <c r="H319" s="272"/>
      <c r="I319" s="278"/>
      <c r="J319" s="192"/>
    </row>
    <row r="320" spans="1:10" ht="15.75" hidden="1">
      <c r="A320" s="281">
        <v>1</v>
      </c>
      <c r="B320" s="282">
        <v>2</v>
      </c>
      <c r="C320" s="282">
        <v>3</v>
      </c>
      <c r="D320" s="282">
        <v>4</v>
      </c>
      <c r="E320" s="274">
        <v>5</v>
      </c>
      <c r="F320" s="230">
        <v>5</v>
      </c>
      <c r="G320" s="229">
        <v>6</v>
      </c>
      <c r="H320" s="231"/>
      <c r="I320" s="278"/>
      <c r="J320" s="192"/>
    </row>
    <row r="321" spans="1:10" ht="31.5" hidden="1">
      <c r="A321" s="281">
        <v>1</v>
      </c>
      <c r="B321" s="302" t="s">
        <v>864</v>
      </c>
      <c r="C321" s="531" t="s">
        <v>865</v>
      </c>
      <c r="D321" s="532">
        <v>12</v>
      </c>
      <c r="E321" s="304">
        <f>SUM(F321:G321)</f>
        <v>0</v>
      </c>
      <c r="F321" s="304">
        <v>0</v>
      </c>
      <c r="G321" s="304"/>
      <c r="H321" s="231"/>
      <c r="I321" s="278"/>
      <c r="J321" s="192"/>
    </row>
    <row r="322" spans="1:10" ht="63" hidden="1">
      <c r="A322" s="281">
        <v>2</v>
      </c>
      <c r="B322" s="302" t="s">
        <v>866</v>
      </c>
      <c r="C322" s="531" t="s">
        <v>867</v>
      </c>
      <c r="D322" s="532">
        <v>12</v>
      </c>
      <c r="E322" s="304">
        <f aca="true" t="shared" si="2" ref="E322:E335">SUM(F322:G322)</f>
        <v>0</v>
      </c>
      <c r="F322" s="304">
        <v>0</v>
      </c>
      <c r="G322" s="304"/>
      <c r="H322" s="231"/>
      <c r="I322" s="278"/>
      <c r="J322" s="192"/>
    </row>
    <row r="323" spans="1:10" ht="31.5" hidden="1">
      <c r="A323" s="281">
        <v>3</v>
      </c>
      <c r="B323" s="302" t="s">
        <v>868</v>
      </c>
      <c r="C323" s="531" t="s">
        <v>869</v>
      </c>
      <c r="D323" s="532">
        <v>12</v>
      </c>
      <c r="E323" s="304">
        <f t="shared" si="2"/>
        <v>0</v>
      </c>
      <c r="F323" s="304">
        <v>0</v>
      </c>
      <c r="G323" s="304"/>
      <c r="H323" s="231"/>
      <c r="I323" s="278"/>
      <c r="J323" s="192"/>
    </row>
    <row r="324" spans="1:10" ht="78.75" hidden="1">
      <c r="A324" s="281">
        <v>4</v>
      </c>
      <c r="B324" s="302" t="s">
        <v>870</v>
      </c>
      <c r="C324" s="531" t="s">
        <v>871</v>
      </c>
      <c r="D324" s="532">
        <v>12</v>
      </c>
      <c r="E324" s="304">
        <f t="shared" si="2"/>
        <v>0</v>
      </c>
      <c r="F324" s="304">
        <v>0</v>
      </c>
      <c r="G324" s="304"/>
      <c r="H324" s="231"/>
      <c r="I324" s="278"/>
      <c r="J324" s="192"/>
    </row>
    <row r="325" spans="1:10" ht="63" hidden="1">
      <c r="A325" s="281">
        <v>5</v>
      </c>
      <c r="B325" s="302" t="s">
        <v>872</v>
      </c>
      <c r="C325" s="531" t="s">
        <v>873</v>
      </c>
      <c r="D325" s="532">
        <v>4</v>
      </c>
      <c r="E325" s="304">
        <f t="shared" si="2"/>
        <v>0</v>
      </c>
      <c r="F325" s="304">
        <v>0</v>
      </c>
      <c r="G325" s="304"/>
      <c r="H325" s="231"/>
      <c r="I325" s="278"/>
      <c r="J325" s="192"/>
    </row>
    <row r="326" spans="1:10" ht="15.75" hidden="1">
      <c r="A326" s="281">
        <v>6</v>
      </c>
      <c r="B326" s="302" t="s">
        <v>874</v>
      </c>
      <c r="C326" s="531" t="s">
        <v>875</v>
      </c>
      <c r="D326" s="532">
        <v>12</v>
      </c>
      <c r="E326" s="304">
        <f t="shared" si="2"/>
        <v>0</v>
      </c>
      <c r="F326" s="304">
        <v>0</v>
      </c>
      <c r="G326" s="304"/>
      <c r="H326" s="231"/>
      <c r="I326" s="278"/>
      <c r="J326" s="192"/>
    </row>
    <row r="327" spans="1:10" ht="78.75" hidden="1">
      <c r="A327" s="229">
        <v>7</v>
      </c>
      <c r="B327" s="302" t="s">
        <v>876</v>
      </c>
      <c r="C327" s="514" t="s">
        <v>877</v>
      </c>
      <c r="D327" s="203">
        <v>12</v>
      </c>
      <c r="E327" s="304">
        <f t="shared" si="2"/>
        <v>0</v>
      </c>
      <c r="F327" s="304">
        <v>0</v>
      </c>
      <c r="G327" s="304"/>
      <c r="H327" s="231"/>
      <c r="I327" s="278"/>
      <c r="J327" s="192"/>
    </row>
    <row r="328" spans="1:10" ht="25.5" hidden="1">
      <c r="A328" s="229">
        <v>8</v>
      </c>
      <c r="B328" s="302" t="s">
        <v>878</v>
      </c>
      <c r="C328" s="514" t="s">
        <v>879</v>
      </c>
      <c r="D328" s="203">
        <v>7</v>
      </c>
      <c r="E328" s="304">
        <f t="shared" si="2"/>
        <v>0</v>
      </c>
      <c r="F328" s="304">
        <v>0</v>
      </c>
      <c r="G328" s="304"/>
      <c r="H328" s="231"/>
      <c r="I328" s="278"/>
      <c r="J328" s="192"/>
    </row>
    <row r="329" spans="1:10" ht="78.75" hidden="1">
      <c r="A329" s="229">
        <v>9</v>
      </c>
      <c r="B329" s="302" t="s">
        <v>880</v>
      </c>
      <c r="C329" s="514" t="s">
        <v>881</v>
      </c>
      <c r="D329" s="203">
        <v>12</v>
      </c>
      <c r="E329" s="304">
        <f t="shared" si="2"/>
        <v>0</v>
      </c>
      <c r="F329" s="304">
        <v>0</v>
      </c>
      <c r="G329" s="304"/>
      <c r="H329" s="231"/>
      <c r="I329" s="278"/>
      <c r="J329" s="192"/>
    </row>
    <row r="330" spans="1:10" ht="63" hidden="1">
      <c r="A330" s="229">
        <v>10</v>
      </c>
      <c r="B330" s="302" t="s">
        <v>882</v>
      </c>
      <c r="C330" s="514" t="s">
        <v>883</v>
      </c>
      <c r="D330" s="203">
        <v>12</v>
      </c>
      <c r="E330" s="304">
        <f t="shared" si="2"/>
        <v>0</v>
      </c>
      <c r="F330" s="304">
        <v>0</v>
      </c>
      <c r="G330" s="304"/>
      <c r="H330" s="231"/>
      <c r="I330" s="278"/>
      <c r="J330" s="192"/>
    </row>
    <row r="331" spans="1:10" ht="25.5" hidden="1">
      <c r="A331" s="229">
        <v>11</v>
      </c>
      <c r="B331" s="302" t="s">
        <v>884</v>
      </c>
      <c r="C331" s="514" t="s">
        <v>885</v>
      </c>
      <c r="D331" s="203">
        <v>12</v>
      </c>
      <c r="E331" s="304">
        <f t="shared" si="2"/>
        <v>0</v>
      </c>
      <c r="F331" s="304">
        <v>0</v>
      </c>
      <c r="G331" s="304"/>
      <c r="H331" s="231"/>
      <c r="I331" s="278"/>
      <c r="J331" s="192"/>
    </row>
    <row r="332" spans="1:10" ht="15.75" hidden="1">
      <c r="A332" s="229">
        <v>12</v>
      </c>
      <c r="B332" s="302" t="s">
        <v>886</v>
      </c>
      <c r="C332" s="514" t="s">
        <v>887</v>
      </c>
      <c r="D332" s="203">
        <v>1</v>
      </c>
      <c r="E332" s="304">
        <f t="shared" si="2"/>
        <v>0</v>
      </c>
      <c r="F332" s="304">
        <v>0</v>
      </c>
      <c r="G332" s="304"/>
      <c r="H332" s="231"/>
      <c r="I332" s="278"/>
      <c r="J332" s="192"/>
    </row>
    <row r="333" spans="1:10" ht="31.5" hidden="1">
      <c r="A333" s="229">
        <v>13</v>
      </c>
      <c r="B333" s="302" t="s">
        <v>888</v>
      </c>
      <c r="C333" s="514"/>
      <c r="D333" s="203">
        <v>1</v>
      </c>
      <c r="E333" s="304">
        <f t="shared" si="2"/>
        <v>0</v>
      </c>
      <c r="F333" s="304">
        <v>0</v>
      </c>
      <c r="G333" s="304"/>
      <c r="H333" s="231"/>
      <c r="I333" s="278"/>
      <c r="J333" s="192"/>
    </row>
    <row r="334" spans="1:10" ht="15.75" hidden="1">
      <c r="A334" s="200">
        <v>14</v>
      </c>
      <c r="B334" s="302" t="s">
        <v>889</v>
      </c>
      <c r="C334" s="514"/>
      <c r="D334" s="203">
        <v>1</v>
      </c>
      <c r="E334" s="304">
        <f t="shared" si="2"/>
        <v>0</v>
      </c>
      <c r="F334" s="304">
        <v>0</v>
      </c>
      <c r="G334" s="304"/>
      <c r="H334" s="276"/>
      <c r="I334" s="278"/>
      <c r="J334" s="192"/>
    </row>
    <row r="335" spans="1:10" ht="15.75" hidden="1">
      <c r="A335" s="200">
        <v>15</v>
      </c>
      <c r="B335" s="302" t="s">
        <v>890</v>
      </c>
      <c r="C335" s="514"/>
      <c r="D335" s="203">
        <v>1</v>
      </c>
      <c r="E335" s="304">
        <f t="shared" si="2"/>
        <v>0</v>
      </c>
      <c r="F335" s="304">
        <v>0</v>
      </c>
      <c r="G335" s="304"/>
      <c r="H335" s="276"/>
      <c r="I335" s="278"/>
      <c r="J335" s="192"/>
    </row>
    <row r="336" spans="1:10" ht="16.5" hidden="1">
      <c r="A336" s="684" t="s">
        <v>561</v>
      </c>
      <c r="B336" s="685"/>
      <c r="C336" s="202" t="s">
        <v>562</v>
      </c>
      <c r="D336" s="202" t="s">
        <v>562</v>
      </c>
      <c r="E336" s="525">
        <f>SUM(E321:E335)</f>
        <v>0</v>
      </c>
      <c r="F336" s="525">
        <f>SUM(F321:F335)</f>
        <v>0</v>
      </c>
      <c r="G336" s="525">
        <f>SUM(G321:G335)</f>
        <v>0</v>
      </c>
      <c r="H336" s="276"/>
      <c r="I336" s="278"/>
      <c r="J336" s="192"/>
    </row>
    <row r="337" spans="1:10" ht="18.75">
      <c r="A337" s="528"/>
      <c r="B337" s="528"/>
      <c r="C337" s="529"/>
      <c r="D337" s="529"/>
      <c r="E337" s="530"/>
      <c r="F337" s="530"/>
      <c r="G337" s="530"/>
      <c r="H337" s="231"/>
      <c r="I337" s="278"/>
      <c r="J337" s="192"/>
    </row>
    <row r="338" spans="1:11" ht="53.25" customHeight="1">
      <c r="A338" s="683" t="s">
        <v>671</v>
      </c>
      <c r="B338" s="683"/>
      <c r="C338" s="683"/>
      <c r="D338" s="683"/>
      <c r="E338" s="683"/>
      <c r="F338" s="683"/>
      <c r="G338" s="683"/>
      <c r="H338" s="683"/>
      <c r="I338" s="683"/>
      <c r="J338" s="683"/>
      <c r="K338" s="683"/>
    </row>
    <row r="339" spans="1:10" ht="15.75">
      <c r="A339" s="237"/>
      <c r="B339" s="192"/>
      <c r="C339" s="237"/>
      <c r="D339" s="237"/>
      <c r="E339" s="237"/>
      <c r="F339" s="237"/>
      <c r="G339" s="192"/>
      <c r="H339" s="278"/>
      <c r="I339" s="278"/>
      <c r="J339" s="192"/>
    </row>
    <row r="340" spans="1:10" ht="15.75">
      <c r="A340" s="283"/>
      <c r="B340" s="283" t="s">
        <v>672</v>
      </c>
      <c r="C340" s="283"/>
      <c r="D340" s="283"/>
      <c r="E340" s="283"/>
      <c r="F340" s="237"/>
      <c r="G340" s="192"/>
      <c r="H340" s="278"/>
      <c r="I340" s="278"/>
      <c r="J340" s="192"/>
    </row>
    <row r="341" spans="1:10" ht="15.75">
      <c r="A341" s="237"/>
      <c r="B341" s="192"/>
      <c r="C341" s="237"/>
      <c r="D341" s="237"/>
      <c r="E341" s="237"/>
      <c r="F341" s="237"/>
      <c r="G341" s="192"/>
      <c r="H341" s="278"/>
      <c r="I341" s="278"/>
      <c r="J341" s="192"/>
    </row>
    <row r="342" spans="1:10" ht="15.75">
      <c r="A342" s="671" t="s">
        <v>545</v>
      </c>
      <c r="B342" s="686" t="s">
        <v>1</v>
      </c>
      <c r="C342" s="686" t="s">
        <v>673</v>
      </c>
      <c r="D342" s="667" t="s">
        <v>579</v>
      </c>
      <c r="E342" s="687"/>
      <c r="F342" s="668"/>
      <c r="G342" s="257"/>
      <c r="H342" s="278"/>
      <c r="I342" s="278"/>
      <c r="J342" s="192"/>
    </row>
    <row r="343" spans="1:10" ht="31.5">
      <c r="A343" s="672"/>
      <c r="B343" s="686"/>
      <c r="C343" s="686"/>
      <c r="D343" s="270" t="s">
        <v>674</v>
      </c>
      <c r="E343" s="236" t="s">
        <v>557</v>
      </c>
      <c r="F343" s="236" t="s">
        <v>563</v>
      </c>
      <c r="G343" s="272"/>
      <c r="H343" s="278"/>
      <c r="I343" s="278"/>
      <c r="J343" s="192"/>
    </row>
    <row r="344" spans="1:10" ht="15.75">
      <c r="A344" s="281">
        <v>1</v>
      </c>
      <c r="B344" s="282">
        <v>2</v>
      </c>
      <c r="C344" s="282">
        <v>3</v>
      </c>
      <c r="D344" s="274">
        <v>5</v>
      </c>
      <c r="E344" s="229">
        <v>5</v>
      </c>
      <c r="F344" s="229">
        <v>6</v>
      </c>
      <c r="G344" s="231"/>
      <c r="H344" s="278"/>
      <c r="I344" s="278"/>
      <c r="J344" s="192"/>
    </row>
    <row r="345" spans="1:10" ht="47.25">
      <c r="A345" s="281">
        <v>1</v>
      </c>
      <c r="B345" s="295" t="s">
        <v>675</v>
      </c>
      <c r="C345" s="295">
        <v>5</v>
      </c>
      <c r="D345" s="289">
        <f aca="true" t="shared" si="3" ref="D345:D350">SUM(E345:F345)</f>
        <v>130583.95999999999</v>
      </c>
      <c r="E345" s="308">
        <v>71269</v>
      </c>
      <c r="F345" s="308">
        <f>160583.06-101268.1</f>
        <v>59314.95999999999</v>
      </c>
      <c r="G345" s="231"/>
      <c r="H345" s="278"/>
      <c r="I345" s="278"/>
      <c r="J345" s="192"/>
    </row>
    <row r="346" spans="1:10" ht="31.5">
      <c r="A346" s="281">
        <v>2</v>
      </c>
      <c r="B346" s="295" t="s">
        <v>676</v>
      </c>
      <c r="C346" s="295">
        <v>5</v>
      </c>
      <c r="D346" s="289">
        <f t="shared" si="3"/>
        <v>56872.94</v>
      </c>
      <c r="E346" s="289">
        <v>30000</v>
      </c>
      <c r="F346" s="289">
        <v>26872.94</v>
      </c>
      <c r="G346" s="231"/>
      <c r="H346" s="278"/>
      <c r="I346" s="278"/>
      <c r="J346" s="192"/>
    </row>
    <row r="347" spans="1:10" ht="15.75">
      <c r="A347" s="281">
        <v>3</v>
      </c>
      <c r="B347" s="295" t="s">
        <v>677</v>
      </c>
      <c r="C347" s="295">
        <v>2</v>
      </c>
      <c r="D347" s="289">
        <f t="shared" si="3"/>
        <v>40000</v>
      </c>
      <c r="E347" s="289">
        <v>0</v>
      </c>
      <c r="F347" s="289">
        <v>40000</v>
      </c>
      <c r="G347" s="231"/>
      <c r="H347" s="278"/>
      <c r="I347" s="278"/>
      <c r="J347" s="192"/>
    </row>
    <row r="348" spans="1:10" ht="15.75">
      <c r="A348" s="281">
        <v>4</v>
      </c>
      <c r="B348" s="295" t="s">
        <v>678</v>
      </c>
      <c r="C348" s="295">
        <v>1</v>
      </c>
      <c r="D348" s="289">
        <f t="shared" si="3"/>
        <v>78000</v>
      </c>
      <c r="E348" s="289">
        <v>0</v>
      </c>
      <c r="F348" s="289">
        <v>78000</v>
      </c>
      <c r="G348" s="231"/>
      <c r="H348" s="278"/>
      <c r="I348" s="278"/>
      <c r="J348" s="192"/>
    </row>
    <row r="349" spans="1:10" ht="15.75">
      <c r="A349" s="281">
        <v>5</v>
      </c>
      <c r="B349" s="464" t="s">
        <v>793</v>
      </c>
      <c r="C349" s="465"/>
      <c r="D349" s="289">
        <f t="shared" si="3"/>
        <v>312180</v>
      </c>
      <c r="E349" s="289"/>
      <c r="F349" s="289">
        <v>312180</v>
      </c>
      <c r="G349" s="231"/>
      <c r="H349" s="278"/>
      <c r="I349" s="278"/>
      <c r="J349" s="192"/>
    </row>
    <row r="350" spans="1:10" ht="47.25">
      <c r="A350" s="551">
        <v>6</v>
      </c>
      <c r="B350" s="295" t="s">
        <v>892</v>
      </c>
      <c r="C350" s="532">
        <v>1</v>
      </c>
      <c r="D350" s="289">
        <f t="shared" si="3"/>
        <v>17400</v>
      </c>
      <c r="E350" s="555">
        <v>0</v>
      </c>
      <c r="F350" s="555">
        <v>17400</v>
      </c>
      <c r="G350" s="231"/>
      <c r="H350" s="278"/>
      <c r="I350" s="278"/>
      <c r="J350" s="192"/>
    </row>
    <row r="351" spans="1:10" ht="47.25">
      <c r="A351" s="551">
        <v>7</v>
      </c>
      <c r="B351" s="295" t="s">
        <v>893</v>
      </c>
      <c r="C351" s="532">
        <v>1</v>
      </c>
      <c r="D351" s="289">
        <f aca="true" t="shared" si="4" ref="D351:D362">SUM(E351:F351)</f>
        <v>13800</v>
      </c>
      <c r="E351" s="555">
        <v>0</v>
      </c>
      <c r="F351" s="555">
        <v>13800</v>
      </c>
      <c r="G351" s="231"/>
      <c r="H351" s="278"/>
      <c r="I351" s="278"/>
      <c r="J351" s="192"/>
    </row>
    <row r="352" spans="1:10" ht="63">
      <c r="A352" s="551">
        <v>8</v>
      </c>
      <c r="B352" s="295" t="s">
        <v>894</v>
      </c>
      <c r="C352" s="532">
        <v>1</v>
      </c>
      <c r="D352" s="289">
        <f t="shared" si="4"/>
        <v>21000</v>
      </c>
      <c r="E352" s="555">
        <v>0</v>
      </c>
      <c r="F352" s="555">
        <v>21000</v>
      </c>
      <c r="G352" s="231"/>
      <c r="H352" s="278"/>
      <c r="I352" s="278"/>
      <c r="J352" s="192"/>
    </row>
    <row r="353" spans="1:10" ht="15.75">
      <c r="A353" s="551">
        <v>9</v>
      </c>
      <c r="B353" s="295" t="s">
        <v>895</v>
      </c>
      <c r="C353" s="532">
        <v>1</v>
      </c>
      <c r="D353" s="289">
        <f t="shared" si="4"/>
        <v>24000</v>
      </c>
      <c r="E353" s="555">
        <v>0</v>
      </c>
      <c r="F353" s="555">
        <v>24000</v>
      </c>
      <c r="G353" s="231"/>
      <c r="H353" s="278"/>
      <c r="I353" s="278"/>
      <c r="J353" s="192"/>
    </row>
    <row r="354" spans="1:10" ht="31.5">
      <c r="A354" s="551">
        <v>10</v>
      </c>
      <c r="B354" s="295" t="s">
        <v>896</v>
      </c>
      <c r="C354" s="532">
        <v>1</v>
      </c>
      <c r="D354" s="289">
        <f t="shared" si="4"/>
        <v>31311</v>
      </c>
      <c r="E354" s="555">
        <v>0</v>
      </c>
      <c r="F354" s="555">
        <v>31311</v>
      </c>
      <c r="G354" s="231"/>
      <c r="H354" s="278"/>
      <c r="I354" s="278"/>
      <c r="J354" s="192"/>
    </row>
    <row r="355" spans="1:10" ht="31.5">
      <c r="A355" s="551">
        <v>11</v>
      </c>
      <c r="B355" s="295" t="s">
        <v>897</v>
      </c>
      <c r="C355" s="532">
        <v>1</v>
      </c>
      <c r="D355" s="289">
        <f t="shared" si="4"/>
        <v>30348</v>
      </c>
      <c r="E355" s="555">
        <v>0</v>
      </c>
      <c r="F355" s="555">
        <v>30348</v>
      </c>
      <c r="G355" s="231"/>
      <c r="H355" s="278"/>
      <c r="I355" s="278"/>
      <c r="J355" s="192"/>
    </row>
    <row r="356" spans="1:10" ht="15.75">
      <c r="A356" s="551">
        <v>12</v>
      </c>
      <c r="B356" s="295" t="s">
        <v>898</v>
      </c>
      <c r="C356" s="532">
        <v>1</v>
      </c>
      <c r="D356" s="289">
        <f t="shared" si="4"/>
        <v>8900</v>
      </c>
      <c r="E356" s="555">
        <v>0</v>
      </c>
      <c r="F356" s="555">
        <v>8900</v>
      </c>
      <c r="G356" s="231"/>
      <c r="H356" s="278"/>
      <c r="I356" s="278"/>
      <c r="J356" s="192"/>
    </row>
    <row r="357" spans="1:10" ht="15.75">
      <c r="A357" s="551">
        <v>13</v>
      </c>
      <c r="B357" s="295" t="s">
        <v>895</v>
      </c>
      <c r="C357" s="532">
        <v>1</v>
      </c>
      <c r="D357" s="289">
        <f t="shared" si="4"/>
        <v>744600</v>
      </c>
      <c r="E357" s="555">
        <v>0</v>
      </c>
      <c r="F357" s="555">
        <v>744600</v>
      </c>
      <c r="G357" s="231"/>
      <c r="H357" s="278"/>
      <c r="I357" s="278"/>
      <c r="J357" s="192"/>
    </row>
    <row r="358" spans="1:10" ht="31.5">
      <c r="A358" s="551">
        <v>14</v>
      </c>
      <c r="B358" s="295" t="s">
        <v>899</v>
      </c>
      <c r="C358" s="532">
        <v>1</v>
      </c>
      <c r="D358" s="289">
        <f t="shared" si="4"/>
        <v>8500</v>
      </c>
      <c r="E358" s="555">
        <v>0</v>
      </c>
      <c r="F358" s="555">
        <v>8500</v>
      </c>
      <c r="G358" s="231"/>
      <c r="H358" s="278"/>
      <c r="I358" s="278"/>
      <c r="J358" s="192"/>
    </row>
    <row r="359" spans="1:10" ht="31.5">
      <c r="A359" s="551">
        <v>15</v>
      </c>
      <c r="B359" s="295" t="s">
        <v>900</v>
      </c>
      <c r="C359" s="532">
        <v>1</v>
      </c>
      <c r="D359" s="289">
        <f t="shared" si="4"/>
        <v>0</v>
      </c>
      <c r="E359" s="555">
        <v>0</v>
      </c>
      <c r="F359" s="555"/>
      <c r="G359" s="231"/>
      <c r="H359" s="278"/>
      <c r="I359" s="278"/>
      <c r="J359" s="192"/>
    </row>
    <row r="360" spans="1:10" ht="15.75">
      <c r="A360" s="551">
        <v>16</v>
      </c>
      <c r="B360" s="295" t="s">
        <v>901</v>
      </c>
      <c r="C360" s="532">
        <v>1</v>
      </c>
      <c r="D360" s="289">
        <f t="shared" si="4"/>
        <v>3000</v>
      </c>
      <c r="E360" s="555">
        <v>0</v>
      </c>
      <c r="F360" s="555">
        <v>3000</v>
      </c>
      <c r="G360" s="231"/>
      <c r="H360" s="278"/>
      <c r="I360" s="278"/>
      <c r="J360" s="192"/>
    </row>
    <row r="361" spans="1:10" ht="15.75">
      <c r="A361" s="551">
        <v>17</v>
      </c>
      <c r="B361" s="295" t="s">
        <v>902</v>
      </c>
      <c r="C361" s="215">
        <v>1</v>
      </c>
      <c r="D361" s="289">
        <f t="shared" si="4"/>
        <v>7000</v>
      </c>
      <c r="E361" s="555">
        <v>0</v>
      </c>
      <c r="F361" s="555">
        <v>7000</v>
      </c>
      <c r="G361" s="231"/>
      <c r="H361" s="278"/>
      <c r="I361" s="278"/>
      <c r="J361" s="192"/>
    </row>
    <row r="362" spans="1:10" ht="63">
      <c r="A362" s="551">
        <v>18</v>
      </c>
      <c r="B362" s="295" t="s">
        <v>903</v>
      </c>
      <c r="C362" s="215">
        <v>1</v>
      </c>
      <c r="D362" s="289">
        <f t="shared" si="4"/>
        <v>12000</v>
      </c>
      <c r="E362" s="555">
        <v>12000</v>
      </c>
      <c r="F362" s="555">
        <v>0</v>
      </c>
      <c r="G362" s="231"/>
      <c r="H362" s="278"/>
      <c r="I362" s="278"/>
      <c r="J362" s="192"/>
    </row>
    <row r="363" spans="1:10" ht="15.75">
      <c r="A363" s="551"/>
      <c r="B363" s="464"/>
      <c r="C363" s="465"/>
      <c r="D363" s="289"/>
      <c r="E363" s="289"/>
      <c r="F363" s="289"/>
      <c r="G363" s="231"/>
      <c r="H363" s="278"/>
      <c r="I363" s="278"/>
      <c r="J363" s="192"/>
    </row>
    <row r="364" spans="1:10" ht="15.75">
      <c r="A364" s="551"/>
      <c r="B364" s="464"/>
      <c r="C364" s="465"/>
      <c r="D364" s="289"/>
      <c r="E364" s="289"/>
      <c r="F364" s="289"/>
      <c r="G364" s="231"/>
      <c r="H364" s="278"/>
      <c r="I364" s="278"/>
      <c r="J364" s="192"/>
    </row>
    <row r="365" spans="1:10" ht="15.75">
      <c r="A365" s="551"/>
      <c r="B365" s="464"/>
      <c r="C365" s="465"/>
      <c r="D365" s="289"/>
      <c r="E365" s="289"/>
      <c r="F365" s="289"/>
      <c r="G365" s="231"/>
      <c r="H365" s="278"/>
      <c r="I365" s="278"/>
      <c r="J365" s="192"/>
    </row>
    <row r="366" spans="1:10" ht="15.75">
      <c r="A366" s="551"/>
      <c r="B366" s="464"/>
      <c r="C366" s="465"/>
      <c r="D366" s="289"/>
      <c r="E366" s="289"/>
      <c r="F366" s="289"/>
      <c r="G366" s="231"/>
      <c r="H366" s="278"/>
      <c r="I366" s="278"/>
      <c r="J366" s="192"/>
    </row>
    <row r="367" spans="1:10" ht="15.75">
      <c r="A367" s="551"/>
      <c r="B367" s="464"/>
      <c r="C367" s="465"/>
      <c r="D367" s="289"/>
      <c r="E367" s="289"/>
      <c r="F367" s="289"/>
      <c r="G367" s="231"/>
      <c r="H367" s="278"/>
      <c r="I367" s="278"/>
      <c r="J367" s="192"/>
    </row>
    <row r="368" spans="1:10" ht="15.75">
      <c r="A368" s="684" t="s">
        <v>561</v>
      </c>
      <c r="B368" s="685"/>
      <c r="C368" s="202" t="s">
        <v>562</v>
      </c>
      <c r="D368" s="292">
        <f>SUM(D345:D362)</f>
        <v>1539495.9</v>
      </c>
      <c r="E368" s="292">
        <f>SUM(E345:E362)</f>
        <v>113269</v>
      </c>
      <c r="F368" s="292">
        <f>SUM(F345:F361)</f>
        <v>1426226.9</v>
      </c>
      <c r="G368" s="276"/>
      <c r="H368" s="278"/>
      <c r="I368" s="278"/>
      <c r="J368" s="192"/>
    </row>
    <row r="369" spans="1:10" ht="15.75">
      <c r="A369" s="237"/>
      <c r="B369" s="192"/>
      <c r="C369" s="237"/>
      <c r="D369" s="237"/>
      <c r="E369" s="237"/>
      <c r="F369" s="237"/>
      <c r="G369" s="192"/>
      <c r="H369" s="278"/>
      <c r="I369" s="278"/>
      <c r="J369" s="192"/>
    </row>
    <row r="370" spans="1:10" ht="15.75" hidden="1">
      <c r="A370" s="283"/>
      <c r="B370" s="283" t="s">
        <v>891</v>
      </c>
      <c r="C370" s="283"/>
      <c r="D370" s="283"/>
      <c r="E370" s="283"/>
      <c r="F370" s="237"/>
      <c r="G370" s="192"/>
      <c r="H370" s="278"/>
      <c r="I370" s="278"/>
      <c r="J370" s="192"/>
    </row>
    <row r="371" spans="1:10" ht="15.75" hidden="1">
      <c r="A371" s="237"/>
      <c r="B371" s="192"/>
      <c r="C371" s="237"/>
      <c r="D371" s="237"/>
      <c r="E371" s="237"/>
      <c r="F371" s="237"/>
      <c r="G371" s="192"/>
      <c r="H371" s="278"/>
      <c r="I371" s="278"/>
      <c r="J371" s="192"/>
    </row>
    <row r="372" spans="1:10" ht="15.75" hidden="1">
      <c r="A372" s="671" t="s">
        <v>545</v>
      </c>
      <c r="B372" s="686" t="s">
        <v>1</v>
      </c>
      <c r="C372" s="686" t="s">
        <v>673</v>
      </c>
      <c r="D372" s="667" t="s">
        <v>579</v>
      </c>
      <c r="E372" s="687"/>
      <c r="F372" s="668"/>
      <c r="G372" s="257"/>
      <c r="H372" s="278"/>
      <c r="I372" s="278"/>
      <c r="J372" s="192"/>
    </row>
    <row r="373" spans="1:10" ht="31.5" hidden="1">
      <c r="A373" s="672"/>
      <c r="B373" s="686"/>
      <c r="C373" s="686"/>
      <c r="D373" s="270" t="s">
        <v>674</v>
      </c>
      <c r="E373" s="236" t="s">
        <v>557</v>
      </c>
      <c r="F373" s="236" t="s">
        <v>563</v>
      </c>
      <c r="G373" s="272"/>
      <c r="H373" s="278"/>
      <c r="I373" s="278"/>
      <c r="J373" s="192"/>
    </row>
    <row r="374" spans="1:10" ht="15.75" hidden="1">
      <c r="A374" s="281">
        <v>1</v>
      </c>
      <c r="B374" s="282">
        <v>2</v>
      </c>
      <c r="C374" s="282">
        <v>3</v>
      </c>
      <c r="D374" s="274">
        <v>5</v>
      </c>
      <c r="E374" s="229">
        <v>5</v>
      </c>
      <c r="F374" s="229">
        <v>6</v>
      </c>
      <c r="G374" s="231"/>
      <c r="H374" s="278"/>
      <c r="I374" s="278"/>
      <c r="J374" s="192"/>
    </row>
    <row r="375" spans="1:10" ht="47.25" hidden="1">
      <c r="A375" s="281">
        <v>1</v>
      </c>
      <c r="B375" s="295" t="s">
        <v>892</v>
      </c>
      <c r="C375" s="532">
        <v>1</v>
      </c>
      <c r="D375" s="289">
        <f>SUM(E375:F375)</f>
        <v>0</v>
      </c>
      <c r="E375" s="289"/>
      <c r="F375" s="289"/>
      <c r="G375" s="231"/>
      <c r="H375" s="278"/>
      <c r="I375" s="278"/>
      <c r="J375" s="192"/>
    </row>
    <row r="376" spans="1:10" ht="47.25" hidden="1">
      <c r="A376" s="281">
        <v>2</v>
      </c>
      <c r="B376" s="295" t="s">
        <v>893</v>
      </c>
      <c r="C376" s="532">
        <v>1</v>
      </c>
      <c r="D376" s="289">
        <f aca="true" t="shared" si="5" ref="D376:D387">SUM(E376:F376)</f>
        <v>0</v>
      </c>
      <c r="E376" s="289"/>
      <c r="F376" s="289"/>
      <c r="G376" s="231"/>
      <c r="H376" s="278"/>
      <c r="I376" s="278"/>
      <c r="J376" s="192"/>
    </row>
    <row r="377" spans="1:10" ht="63" hidden="1">
      <c r="A377" s="281">
        <v>3</v>
      </c>
      <c r="B377" s="295" t="s">
        <v>894</v>
      </c>
      <c r="C377" s="532">
        <v>1</v>
      </c>
      <c r="D377" s="289">
        <f t="shared" si="5"/>
        <v>0</v>
      </c>
      <c r="E377" s="289"/>
      <c r="F377" s="289"/>
      <c r="G377" s="231"/>
      <c r="H377" s="278"/>
      <c r="I377" s="278"/>
      <c r="J377" s="192"/>
    </row>
    <row r="378" spans="1:10" ht="15.75" hidden="1">
      <c r="A378" s="281">
        <v>4</v>
      </c>
      <c r="B378" s="295" t="s">
        <v>895</v>
      </c>
      <c r="C378" s="532">
        <v>1</v>
      </c>
      <c r="D378" s="289">
        <f t="shared" si="5"/>
        <v>0</v>
      </c>
      <c r="E378" s="289"/>
      <c r="F378" s="289"/>
      <c r="G378" s="231"/>
      <c r="H378" s="278"/>
      <c r="I378" s="278"/>
      <c r="J378" s="192"/>
    </row>
    <row r="379" spans="1:10" ht="31.5" hidden="1">
      <c r="A379" s="281">
        <v>5</v>
      </c>
      <c r="B379" s="295" t="s">
        <v>896</v>
      </c>
      <c r="C379" s="532">
        <v>1</v>
      </c>
      <c r="D379" s="289">
        <f t="shared" si="5"/>
        <v>0</v>
      </c>
      <c r="E379" s="289"/>
      <c r="F379" s="289"/>
      <c r="G379" s="231"/>
      <c r="H379" s="278"/>
      <c r="I379" s="278"/>
      <c r="J379" s="192"/>
    </row>
    <row r="380" spans="1:10" ht="31.5" hidden="1">
      <c r="A380" s="281">
        <v>6</v>
      </c>
      <c r="B380" s="295" t="s">
        <v>897</v>
      </c>
      <c r="C380" s="532">
        <v>1</v>
      </c>
      <c r="D380" s="289">
        <f t="shared" si="5"/>
        <v>0</v>
      </c>
      <c r="E380" s="289"/>
      <c r="F380" s="289"/>
      <c r="G380" s="231"/>
      <c r="H380" s="278"/>
      <c r="I380" s="278"/>
      <c r="J380" s="192"/>
    </row>
    <row r="381" spans="1:10" ht="15.75" hidden="1">
      <c r="A381" s="281">
        <v>7</v>
      </c>
      <c r="B381" s="295" t="s">
        <v>898</v>
      </c>
      <c r="C381" s="532">
        <v>1</v>
      </c>
      <c r="D381" s="289">
        <f t="shared" si="5"/>
        <v>0</v>
      </c>
      <c r="E381" s="289"/>
      <c r="F381" s="289"/>
      <c r="G381" s="231"/>
      <c r="H381" s="278"/>
      <c r="I381" s="278"/>
      <c r="J381" s="192"/>
    </row>
    <row r="382" spans="1:10" ht="15.75" hidden="1">
      <c r="A382" s="281">
        <v>8</v>
      </c>
      <c r="B382" s="295" t="s">
        <v>895</v>
      </c>
      <c r="C382" s="532">
        <v>1</v>
      </c>
      <c r="D382" s="289">
        <f t="shared" si="5"/>
        <v>0</v>
      </c>
      <c r="E382" s="289"/>
      <c r="F382" s="289"/>
      <c r="G382" s="231"/>
      <c r="H382" s="278"/>
      <c r="I382" s="278"/>
      <c r="J382" s="192"/>
    </row>
    <row r="383" spans="1:10" ht="31.5" hidden="1">
      <c r="A383" s="281">
        <v>9</v>
      </c>
      <c r="B383" s="295" t="s">
        <v>899</v>
      </c>
      <c r="C383" s="532">
        <v>1</v>
      </c>
      <c r="D383" s="289">
        <f t="shared" si="5"/>
        <v>0</v>
      </c>
      <c r="E383" s="289"/>
      <c r="F383" s="289"/>
      <c r="G383" s="231"/>
      <c r="H383" s="278"/>
      <c r="I383" s="278"/>
      <c r="J383" s="192"/>
    </row>
    <row r="384" spans="1:10" ht="31.5" hidden="1">
      <c r="A384" s="281">
        <v>10</v>
      </c>
      <c r="B384" s="295" t="s">
        <v>900</v>
      </c>
      <c r="C384" s="532">
        <v>1</v>
      </c>
      <c r="D384" s="289">
        <f t="shared" si="5"/>
        <v>0</v>
      </c>
      <c r="E384" s="289"/>
      <c r="F384" s="289"/>
      <c r="G384" s="231"/>
      <c r="H384" s="278"/>
      <c r="I384" s="278"/>
      <c r="J384" s="192"/>
    </row>
    <row r="385" spans="1:10" ht="15.75" hidden="1">
      <c r="A385" s="281">
        <v>11</v>
      </c>
      <c r="B385" s="295" t="s">
        <v>901</v>
      </c>
      <c r="C385" s="532">
        <v>1</v>
      </c>
      <c r="D385" s="289">
        <f t="shared" si="5"/>
        <v>0</v>
      </c>
      <c r="E385" s="289"/>
      <c r="F385" s="289"/>
      <c r="G385" s="231"/>
      <c r="H385" s="278"/>
      <c r="I385" s="278"/>
      <c r="J385" s="192"/>
    </row>
    <row r="386" spans="1:10" ht="15.75" hidden="1">
      <c r="A386" s="200">
        <v>12</v>
      </c>
      <c r="B386" s="295" t="s">
        <v>902</v>
      </c>
      <c r="C386" s="215">
        <v>1</v>
      </c>
      <c r="D386" s="289">
        <f t="shared" si="5"/>
        <v>0</v>
      </c>
      <c r="E386" s="289"/>
      <c r="F386" s="289"/>
      <c r="G386" s="231"/>
      <c r="H386" s="278"/>
      <c r="I386" s="278"/>
      <c r="J386" s="192"/>
    </row>
    <row r="387" spans="1:10" ht="63" hidden="1">
      <c r="A387" s="200">
        <v>13</v>
      </c>
      <c r="B387" s="295" t="s">
        <v>903</v>
      </c>
      <c r="C387" s="215">
        <v>1</v>
      </c>
      <c r="D387" s="289">
        <f t="shared" si="5"/>
        <v>0</v>
      </c>
      <c r="E387" s="289"/>
      <c r="F387" s="289"/>
      <c r="G387" s="276"/>
      <c r="H387" s="278"/>
      <c r="I387" s="278"/>
      <c r="J387" s="192"/>
    </row>
    <row r="388" spans="1:10" ht="16.5" hidden="1">
      <c r="A388" s="684" t="s">
        <v>561</v>
      </c>
      <c r="B388" s="685"/>
      <c r="C388" s="202" t="s">
        <v>562</v>
      </c>
      <c r="D388" s="525">
        <f>SUM(D375:D387)</f>
        <v>0</v>
      </c>
      <c r="E388" s="525">
        <f>SUM(E375:E387)</f>
        <v>0</v>
      </c>
      <c r="F388" s="525">
        <f>SUM(F375:F387)</f>
        <v>0</v>
      </c>
      <c r="G388" s="276"/>
      <c r="H388" s="278"/>
      <c r="I388" s="278"/>
      <c r="J388" s="192"/>
    </row>
    <row r="389" spans="1:10" ht="15.75">
      <c r="A389" s="237"/>
      <c r="B389" s="192"/>
      <c r="C389" s="237"/>
      <c r="D389" s="237"/>
      <c r="E389" s="237"/>
      <c r="F389" s="237"/>
      <c r="G389" s="192"/>
      <c r="H389" s="278"/>
      <c r="I389" s="278"/>
      <c r="J389" s="192"/>
    </row>
    <row r="390" spans="1:11" ht="149.25" customHeight="1">
      <c r="A390" s="683" t="s">
        <v>679</v>
      </c>
      <c r="B390" s="683"/>
      <c r="C390" s="683"/>
      <c r="D390" s="683"/>
      <c r="E390" s="683"/>
      <c r="F390" s="683"/>
      <c r="G390" s="683"/>
      <c r="H390" s="683"/>
      <c r="I390" s="683"/>
      <c r="J390" s="683"/>
      <c r="K390" s="683"/>
    </row>
    <row r="391" spans="1:10" ht="15.75">
      <c r="A391" s="237"/>
      <c r="B391" s="192"/>
      <c r="C391" s="237"/>
      <c r="D391" s="237"/>
      <c r="E391" s="237"/>
      <c r="F391" s="237"/>
      <c r="G391" s="192"/>
      <c r="H391" s="278"/>
      <c r="I391" s="278"/>
      <c r="J391" s="192"/>
    </row>
    <row r="392" spans="1:4" ht="15.75">
      <c r="A392" s="194"/>
      <c r="B392" s="194" t="s">
        <v>948</v>
      </c>
      <c r="C392" s="194"/>
      <c r="D392" s="194"/>
    </row>
    <row r="393" ht="15.75">
      <c r="B393" s="186"/>
    </row>
    <row r="394" spans="1:10" ht="25.5" customHeight="1">
      <c r="A394" s="671" t="s">
        <v>545</v>
      </c>
      <c r="B394" s="671" t="s">
        <v>566</v>
      </c>
      <c r="C394" s="673"/>
      <c r="D394" s="675" t="s">
        <v>651</v>
      </c>
      <c r="E394" s="677" t="s">
        <v>681</v>
      </c>
      <c r="F394" s="653" t="s">
        <v>579</v>
      </c>
      <c r="G394" s="653"/>
      <c r="H394" s="653"/>
      <c r="I394" s="309"/>
      <c r="J394" s="226"/>
    </row>
    <row r="395" spans="1:10" ht="54.75" customHeight="1">
      <c r="A395" s="672"/>
      <c r="B395" s="672"/>
      <c r="C395" s="674"/>
      <c r="D395" s="676"/>
      <c r="E395" s="678"/>
      <c r="F395" s="227" t="s">
        <v>682</v>
      </c>
      <c r="G395" s="227" t="s">
        <v>557</v>
      </c>
      <c r="H395" s="227" t="s">
        <v>563</v>
      </c>
      <c r="I395" s="192"/>
      <c r="J395" s="228"/>
    </row>
    <row r="396" spans="1:10" ht="15.75" customHeight="1">
      <c r="A396" s="232">
        <v>1</v>
      </c>
      <c r="B396" s="654">
        <v>2</v>
      </c>
      <c r="C396" s="655"/>
      <c r="D396" s="232">
        <v>3</v>
      </c>
      <c r="E396" s="232">
        <v>4</v>
      </c>
      <c r="F396" s="232">
        <v>5</v>
      </c>
      <c r="G396" s="232">
        <v>6</v>
      </c>
      <c r="H396" s="232">
        <v>7</v>
      </c>
      <c r="I396" s="278"/>
      <c r="J396" s="278"/>
    </row>
    <row r="397" spans="1:10" ht="15.75">
      <c r="A397" s="206">
        <v>1</v>
      </c>
      <c r="B397" s="656" t="s">
        <v>944</v>
      </c>
      <c r="C397" s="657"/>
      <c r="D397" s="303"/>
      <c r="E397" s="304"/>
      <c r="F397" s="304">
        <f>H397</f>
        <v>8000</v>
      </c>
      <c r="G397" s="304"/>
      <c r="H397" s="311">
        <v>8000</v>
      </c>
      <c r="I397" s="278"/>
      <c r="J397" s="192"/>
    </row>
    <row r="398" spans="1:10" ht="15.75">
      <c r="A398" s="264"/>
      <c r="B398" s="557"/>
      <c r="C398" s="546"/>
      <c r="D398" s="303"/>
      <c r="E398" s="304"/>
      <c r="F398" s="304"/>
      <c r="G398" s="304"/>
      <c r="H398" s="311"/>
      <c r="I398" s="278"/>
      <c r="J398" s="192"/>
    </row>
    <row r="399" spans="1:10" ht="15.75">
      <c r="A399" s="650" t="s">
        <v>571</v>
      </c>
      <c r="B399" s="651"/>
      <c r="C399" s="652"/>
      <c r="D399" s="200"/>
      <c r="E399" s="200" t="s">
        <v>562</v>
      </c>
      <c r="F399" s="292">
        <f>SUM(F397:F397)</f>
        <v>8000</v>
      </c>
      <c r="G399" s="312">
        <f>SUM(G397:G397)</f>
        <v>0</v>
      </c>
      <c r="H399" s="312">
        <f>SUM(H397:H397)</f>
        <v>8000</v>
      </c>
      <c r="I399" s="192"/>
      <c r="J399" s="192"/>
    </row>
    <row r="400" spans="1:10" ht="15.75">
      <c r="A400" s="237"/>
      <c r="B400" s="192"/>
      <c r="C400" s="237"/>
      <c r="D400" s="237"/>
      <c r="E400" s="237"/>
      <c r="F400" s="237"/>
      <c r="G400" s="192"/>
      <c r="H400" s="278"/>
      <c r="I400" s="278"/>
      <c r="J400" s="192"/>
    </row>
    <row r="401" spans="1:4" ht="15.75">
      <c r="A401" s="194"/>
      <c r="B401" s="194" t="s">
        <v>945</v>
      </c>
      <c r="C401" s="194"/>
      <c r="D401" s="194"/>
    </row>
    <row r="402" ht="15.75">
      <c r="B402" s="186"/>
    </row>
    <row r="403" spans="1:10" ht="25.5" customHeight="1">
      <c r="A403" s="671" t="s">
        <v>545</v>
      </c>
      <c r="B403" s="671" t="s">
        <v>566</v>
      </c>
      <c r="C403" s="673"/>
      <c r="D403" s="675" t="s">
        <v>651</v>
      </c>
      <c r="E403" s="677" t="s">
        <v>681</v>
      </c>
      <c r="F403" s="653" t="s">
        <v>579</v>
      </c>
      <c r="G403" s="653"/>
      <c r="H403" s="653"/>
      <c r="I403" s="309"/>
      <c r="J403" s="226"/>
    </row>
    <row r="404" spans="1:10" ht="54.75" customHeight="1">
      <c r="A404" s="672"/>
      <c r="B404" s="672"/>
      <c r="C404" s="674"/>
      <c r="D404" s="676"/>
      <c r="E404" s="678"/>
      <c r="F404" s="227" t="s">
        <v>682</v>
      </c>
      <c r="G404" s="227" t="s">
        <v>557</v>
      </c>
      <c r="H404" s="227" t="s">
        <v>563</v>
      </c>
      <c r="I404" s="192"/>
      <c r="J404" s="228"/>
    </row>
    <row r="405" spans="1:10" ht="15.75" customHeight="1">
      <c r="A405" s="232">
        <v>1</v>
      </c>
      <c r="B405" s="654">
        <v>2</v>
      </c>
      <c r="C405" s="655"/>
      <c r="D405" s="232">
        <v>3</v>
      </c>
      <c r="E405" s="232">
        <v>4</v>
      </c>
      <c r="F405" s="232">
        <v>5</v>
      </c>
      <c r="G405" s="232">
        <v>6</v>
      </c>
      <c r="H405" s="232">
        <v>7</v>
      </c>
      <c r="I405" s="278"/>
      <c r="J405" s="278"/>
    </row>
    <row r="406" spans="1:10" ht="15.75">
      <c r="A406" s="206">
        <v>1</v>
      </c>
      <c r="B406" s="656" t="s">
        <v>683</v>
      </c>
      <c r="C406" s="657"/>
      <c r="D406" s="303">
        <v>1782</v>
      </c>
      <c r="E406" s="304">
        <v>250</v>
      </c>
      <c r="F406" s="304">
        <f aca="true" t="shared" si="6" ref="F406:F411">SUM(G406:H406)</f>
        <v>417999.89999999997</v>
      </c>
      <c r="G406" s="304">
        <f>450000-50210.39</f>
        <v>399789.61</v>
      </c>
      <c r="H406" s="311">
        <v>18210.29</v>
      </c>
      <c r="I406" s="278"/>
      <c r="J406" s="192"/>
    </row>
    <row r="407" spans="1:10" ht="15.75">
      <c r="A407" s="206">
        <v>2</v>
      </c>
      <c r="B407" s="656" t="s">
        <v>684</v>
      </c>
      <c r="C407" s="657"/>
      <c r="D407" s="303">
        <v>25</v>
      </c>
      <c r="E407" s="304">
        <v>16460</v>
      </c>
      <c r="F407" s="304">
        <f t="shared" si="6"/>
        <v>120000</v>
      </c>
      <c r="G407" s="304">
        <v>0</v>
      </c>
      <c r="H407" s="311">
        <v>120000</v>
      </c>
      <c r="I407" s="278"/>
      <c r="J407" s="192"/>
    </row>
    <row r="408" spans="1:10" ht="15.75">
      <c r="A408" s="206">
        <v>3</v>
      </c>
      <c r="B408" s="656" t="s">
        <v>685</v>
      </c>
      <c r="C408" s="657"/>
      <c r="D408" s="303">
        <v>135</v>
      </c>
      <c r="E408" s="304">
        <v>1277</v>
      </c>
      <c r="F408" s="304">
        <f t="shared" si="6"/>
        <v>175000</v>
      </c>
      <c r="G408" s="304">
        <v>0</v>
      </c>
      <c r="H408" s="311">
        <v>175000</v>
      </c>
      <c r="I408" s="278"/>
      <c r="J408" s="192"/>
    </row>
    <row r="409" spans="1:10" ht="15.75">
      <c r="A409" s="264">
        <v>4</v>
      </c>
      <c r="B409" s="650" t="s">
        <v>905</v>
      </c>
      <c r="C409" s="652"/>
      <c r="D409" s="206"/>
      <c r="E409" s="206"/>
      <c r="F409" s="355">
        <f t="shared" si="6"/>
        <v>74307.91</v>
      </c>
      <c r="G409" s="363">
        <v>74307.91</v>
      </c>
      <c r="H409" s="311"/>
      <c r="I409" s="278"/>
      <c r="J409" s="192"/>
    </row>
    <row r="410" spans="1:10" ht="15.75">
      <c r="A410" s="264">
        <v>5</v>
      </c>
      <c r="B410" s="512" t="s">
        <v>906</v>
      </c>
      <c r="C410" s="513"/>
      <c r="D410" s="206"/>
      <c r="E410" s="206"/>
      <c r="F410" s="355">
        <f t="shared" si="6"/>
        <v>66000</v>
      </c>
      <c r="G410" s="363">
        <v>66000</v>
      </c>
      <c r="H410" s="311"/>
      <c r="I410" s="278"/>
      <c r="J410" s="192"/>
    </row>
    <row r="411" spans="1:10" ht="15.75">
      <c r="A411" s="264">
        <v>6</v>
      </c>
      <c r="B411" s="650" t="s">
        <v>907</v>
      </c>
      <c r="C411" s="652"/>
      <c r="D411" s="206"/>
      <c r="E411" s="206"/>
      <c r="F411" s="355">
        <f t="shared" si="6"/>
        <v>128337.7</v>
      </c>
      <c r="G411" s="363">
        <v>128337.7</v>
      </c>
      <c r="H411" s="311"/>
      <c r="I411" s="278"/>
      <c r="J411" s="192"/>
    </row>
    <row r="412" spans="1:10" ht="15.75">
      <c r="A412" s="264"/>
      <c r="B412" s="557"/>
      <c r="C412" s="546"/>
      <c r="D412" s="303"/>
      <c r="E412" s="304"/>
      <c r="F412" s="304"/>
      <c r="G412" s="304"/>
      <c r="H412" s="311"/>
      <c r="I412" s="278"/>
      <c r="J412" s="192"/>
    </row>
    <row r="413" spans="1:10" ht="15.75">
      <c r="A413" s="650" t="s">
        <v>571</v>
      </c>
      <c r="B413" s="651"/>
      <c r="C413" s="652"/>
      <c r="D413" s="200"/>
      <c r="E413" s="200" t="s">
        <v>562</v>
      </c>
      <c r="F413" s="292">
        <f>SUM(F406:F411)</f>
        <v>981645.5099999999</v>
      </c>
      <c r="G413" s="312">
        <f>SUM(G406:G411)</f>
        <v>668435.22</v>
      </c>
      <c r="H413" s="312">
        <f>SUM(H406:H408)</f>
        <v>313210.29000000004</v>
      </c>
      <c r="I413" s="192"/>
      <c r="J413" s="192"/>
    </row>
    <row r="414" ht="15.75">
      <c r="B414" s="186"/>
    </row>
    <row r="415" spans="1:4" ht="15.75" hidden="1">
      <c r="A415" s="194"/>
      <c r="B415" s="194" t="s">
        <v>904</v>
      </c>
      <c r="C415" s="194"/>
      <c r="D415" s="194"/>
    </row>
    <row r="416" ht="15.75" hidden="1">
      <c r="B416" s="186"/>
    </row>
    <row r="417" spans="1:10" ht="15.75" hidden="1">
      <c r="A417" s="671" t="s">
        <v>545</v>
      </c>
      <c r="B417" s="671" t="s">
        <v>566</v>
      </c>
      <c r="C417" s="673"/>
      <c r="D417" s="675" t="s">
        <v>651</v>
      </c>
      <c r="E417" s="677" t="s">
        <v>681</v>
      </c>
      <c r="F417" s="653" t="s">
        <v>579</v>
      </c>
      <c r="G417" s="653"/>
      <c r="H417" s="653"/>
      <c r="I417" s="309"/>
      <c r="J417" s="226"/>
    </row>
    <row r="418" spans="1:10" ht="47.25" hidden="1">
      <c r="A418" s="672"/>
      <c r="B418" s="672"/>
      <c r="C418" s="674"/>
      <c r="D418" s="676"/>
      <c r="E418" s="678"/>
      <c r="F418" s="227" t="s">
        <v>682</v>
      </c>
      <c r="G418" s="227" t="s">
        <v>557</v>
      </c>
      <c r="H418" s="227" t="s">
        <v>563</v>
      </c>
      <c r="I418" s="192"/>
      <c r="J418" s="228"/>
    </row>
    <row r="419" spans="1:10" ht="15.75" hidden="1">
      <c r="A419" s="232">
        <v>1</v>
      </c>
      <c r="B419" s="654">
        <v>2</v>
      </c>
      <c r="C419" s="655"/>
      <c r="D419" s="232">
        <v>3</v>
      </c>
      <c r="E419" s="232">
        <v>4</v>
      </c>
      <c r="F419" s="232">
        <v>5</v>
      </c>
      <c r="G419" s="232">
        <v>6</v>
      </c>
      <c r="H419" s="232">
        <v>7</v>
      </c>
      <c r="I419" s="278"/>
      <c r="J419" s="278"/>
    </row>
    <row r="420" spans="1:10" ht="15.75" hidden="1">
      <c r="A420" s="200">
        <v>1</v>
      </c>
      <c r="B420" s="650" t="s">
        <v>905</v>
      </c>
      <c r="C420" s="652"/>
      <c r="D420" s="206"/>
      <c r="E420" s="206"/>
      <c r="F420" s="355">
        <f>SUM(G420:H420)</f>
        <v>0</v>
      </c>
      <c r="G420" s="355"/>
      <c r="H420" s="355">
        <v>0</v>
      </c>
      <c r="I420" s="278"/>
      <c r="J420" s="192"/>
    </row>
    <row r="421" spans="1:10" ht="15.75" hidden="1">
      <c r="A421" s="200">
        <v>2</v>
      </c>
      <c r="B421" s="512" t="s">
        <v>906</v>
      </c>
      <c r="C421" s="513"/>
      <c r="D421" s="206"/>
      <c r="E421" s="206"/>
      <c r="F421" s="355">
        <f>SUM(G421:H421)</f>
        <v>0</v>
      </c>
      <c r="G421" s="355"/>
      <c r="H421" s="355">
        <v>0</v>
      </c>
      <c r="I421" s="278"/>
      <c r="J421" s="192"/>
    </row>
    <row r="422" spans="1:10" ht="15.75" hidden="1">
      <c r="A422" s="200">
        <v>3</v>
      </c>
      <c r="B422" s="650" t="s">
        <v>907</v>
      </c>
      <c r="C422" s="652"/>
      <c r="D422" s="206"/>
      <c r="E422" s="206"/>
      <c r="F422" s="355">
        <f>SUM(G422:H422)</f>
        <v>0</v>
      </c>
      <c r="G422" s="355"/>
      <c r="H422" s="355">
        <v>0</v>
      </c>
      <c r="I422" s="278"/>
      <c r="J422" s="192"/>
    </row>
    <row r="423" spans="1:10" ht="16.5" hidden="1">
      <c r="A423" s="650" t="s">
        <v>571</v>
      </c>
      <c r="B423" s="651"/>
      <c r="C423" s="652"/>
      <c r="D423" s="200"/>
      <c r="E423" s="200" t="s">
        <v>562</v>
      </c>
      <c r="F423" s="522">
        <f>SUM(F420:F422)</f>
        <v>0</v>
      </c>
      <c r="G423" s="522">
        <f>SUM(G420:G422)</f>
        <v>0</v>
      </c>
      <c r="H423" s="522">
        <f>SUM(H420:H422)</f>
        <v>0</v>
      </c>
      <c r="I423" s="192"/>
      <c r="J423" s="192"/>
    </row>
    <row r="424" ht="15.75">
      <c r="B424" s="186"/>
    </row>
    <row r="425" spans="1:4" ht="15.75">
      <c r="A425" s="194"/>
      <c r="B425" s="194" t="s">
        <v>946</v>
      </c>
      <c r="C425" s="194"/>
      <c r="D425" s="194"/>
    </row>
    <row r="426" ht="15.75">
      <c r="B426" s="186"/>
    </row>
    <row r="427" spans="1:10" ht="25.5" customHeight="1">
      <c r="A427" s="671" t="s">
        <v>545</v>
      </c>
      <c r="B427" s="671" t="s">
        <v>566</v>
      </c>
      <c r="C427" s="673"/>
      <c r="D427" s="675" t="s">
        <v>651</v>
      </c>
      <c r="E427" s="677" t="s">
        <v>681</v>
      </c>
      <c r="F427" s="653" t="s">
        <v>579</v>
      </c>
      <c r="G427" s="653"/>
      <c r="H427" s="653"/>
      <c r="I427" s="309"/>
      <c r="J427" s="226"/>
    </row>
    <row r="428" spans="1:10" ht="54.75" customHeight="1">
      <c r="A428" s="672"/>
      <c r="B428" s="672"/>
      <c r="C428" s="674"/>
      <c r="D428" s="676"/>
      <c r="E428" s="678"/>
      <c r="F428" s="227" t="s">
        <v>682</v>
      </c>
      <c r="G428" s="227" t="s">
        <v>557</v>
      </c>
      <c r="H428" s="227" t="s">
        <v>563</v>
      </c>
      <c r="I428" s="192"/>
      <c r="J428" s="228"/>
    </row>
    <row r="429" spans="1:10" ht="15.75" customHeight="1">
      <c r="A429" s="232">
        <v>1</v>
      </c>
      <c r="B429" s="654">
        <v>2</v>
      </c>
      <c r="C429" s="655"/>
      <c r="D429" s="232">
        <v>3</v>
      </c>
      <c r="E429" s="232">
        <v>4</v>
      </c>
      <c r="F429" s="232">
        <v>5</v>
      </c>
      <c r="G429" s="232">
        <v>6</v>
      </c>
      <c r="H429" s="232">
        <v>7</v>
      </c>
      <c r="I429" s="278"/>
      <c r="J429" s="278"/>
    </row>
    <row r="430" spans="1:10" ht="15" customHeight="1">
      <c r="A430" s="200">
        <v>1</v>
      </c>
      <c r="B430" s="660" t="s">
        <v>687</v>
      </c>
      <c r="C430" s="661"/>
      <c r="D430" s="313">
        <v>173</v>
      </c>
      <c r="E430" s="314">
        <v>453.02448</v>
      </c>
      <c r="F430" s="289">
        <f aca="true" t="shared" si="7" ref="F430:F435">SUM(G430:H430)</f>
        <v>4943.1</v>
      </c>
      <c r="G430" s="289">
        <v>0</v>
      </c>
      <c r="H430" s="289">
        <v>4943.1</v>
      </c>
      <c r="I430" s="278"/>
      <c r="J430" s="278"/>
    </row>
    <row r="431" spans="1:10" ht="15" customHeight="1">
      <c r="A431" s="200">
        <v>2</v>
      </c>
      <c r="B431" s="660" t="s">
        <v>688</v>
      </c>
      <c r="C431" s="661"/>
      <c r="D431" s="313">
        <v>500</v>
      </c>
      <c r="E431" s="313">
        <v>500</v>
      </c>
      <c r="F431" s="289">
        <f t="shared" si="7"/>
        <v>0</v>
      </c>
      <c r="G431" s="289">
        <v>0</v>
      </c>
      <c r="H431" s="289">
        <v>0</v>
      </c>
      <c r="I431" s="278"/>
      <c r="J431" s="278"/>
    </row>
    <row r="432" spans="1:10" ht="15" customHeight="1">
      <c r="A432" s="200">
        <v>3</v>
      </c>
      <c r="B432" s="660" t="s">
        <v>689</v>
      </c>
      <c r="C432" s="661"/>
      <c r="D432" s="313">
        <v>500</v>
      </c>
      <c r="E432" s="313">
        <v>500</v>
      </c>
      <c r="F432" s="289">
        <f t="shared" si="7"/>
        <v>0</v>
      </c>
      <c r="G432" s="289">
        <v>0</v>
      </c>
      <c r="H432" s="289">
        <v>0</v>
      </c>
      <c r="I432" s="278"/>
      <c r="J432" s="278"/>
    </row>
    <row r="433" spans="1:10" ht="15.75" customHeight="1">
      <c r="A433" s="200">
        <v>4</v>
      </c>
      <c r="B433" s="660" t="s">
        <v>690</v>
      </c>
      <c r="C433" s="661"/>
      <c r="D433" s="313">
        <v>400</v>
      </c>
      <c r="E433" s="313">
        <v>200</v>
      </c>
      <c r="F433" s="289">
        <f t="shared" si="7"/>
        <v>80000</v>
      </c>
      <c r="G433" s="289">
        <v>0</v>
      </c>
      <c r="H433" s="289">
        <f>80000</f>
        <v>80000</v>
      </c>
      <c r="I433" s="278"/>
      <c r="J433" s="278"/>
    </row>
    <row r="434" spans="1:10" ht="15.75">
      <c r="A434" s="200">
        <v>5</v>
      </c>
      <c r="B434" s="682" t="s">
        <v>691</v>
      </c>
      <c r="C434" s="682"/>
      <c r="D434" s="313">
        <v>250</v>
      </c>
      <c r="E434" s="313">
        <v>200</v>
      </c>
      <c r="F434" s="289">
        <f t="shared" si="7"/>
        <v>40000</v>
      </c>
      <c r="G434" s="289">
        <v>0</v>
      </c>
      <c r="H434" s="289">
        <v>40000</v>
      </c>
      <c r="I434" s="278"/>
      <c r="J434" s="192"/>
    </row>
    <row r="435" spans="1:10" ht="15.75">
      <c r="A435" s="206">
        <v>6</v>
      </c>
      <c r="B435" s="658" t="s">
        <v>329</v>
      </c>
      <c r="C435" s="659"/>
      <c r="D435" s="232"/>
      <c r="E435" s="232"/>
      <c r="F435" s="355">
        <f t="shared" si="7"/>
        <v>437421.05</v>
      </c>
      <c r="G435" s="355">
        <v>0</v>
      </c>
      <c r="H435" s="363">
        <v>437421.05</v>
      </c>
      <c r="I435" s="278"/>
      <c r="J435" s="192"/>
    </row>
    <row r="436" spans="1:10" ht="15.75">
      <c r="A436" s="264">
        <v>7</v>
      </c>
      <c r="B436" s="658" t="s">
        <v>328</v>
      </c>
      <c r="C436" s="659"/>
      <c r="D436" s="232"/>
      <c r="E436" s="232"/>
      <c r="F436" s="355">
        <f aca="true" t="shared" si="8" ref="F436:F441">SUM(G436:H436)</f>
        <v>7000</v>
      </c>
      <c r="G436" s="355">
        <v>0</v>
      </c>
      <c r="H436" s="363">
        <v>7000</v>
      </c>
      <c r="I436" s="278"/>
      <c r="J436" s="192"/>
    </row>
    <row r="437" spans="1:10" ht="15.75">
      <c r="A437" s="264">
        <v>8</v>
      </c>
      <c r="B437" s="658" t="s">
        <v>909</v>
      </c>
      <c r="C437" s="659"/>
      <c r="D437" s="232"/>
      <c r="E437" s="232"/>
      <c r="F437" s="355">
        <f t="shared" si="8"/>
        <v>35000</v>
      </c>
      <c r="G437" s="355">
        <v>0</v>
      </c>
      <c r="H437" s="363">
        <v>35000</v>
      </c>
      <c r="I437" s="278"/>
      <c r="J437" s="192"/>
    </row>
    <row r="438" spans="1:10" ht="15.75">
      <c r="A438" s="264">
        <v>9</v>
      </c>
      <c r="B438" s="658" t="s">
        <v>910</v>
      </c>
      <c r="C438" s="659"/>
      <c r="D438" s="232"/>
      <c r="E438" s="232"/>
      <c r="F438" s="355">
        <f t="shared" si="8"/>
        <v>5000</v>
      </c>
      <c r="G438" s="355">
        <v>0</v>
      </c>
      <c r="H438" s="363">
        <v>5000</v>
      </c>
      <c r="I438" s="278"/>
      <c r="J438" s="192"/>
    </row>
    <row r="439" spans="1:10" ht="15.75">
      <c r="A439" s="264">
        <v>10</v>
      </c>
      <c r="B439" s="658" t="s">
        <v>911</v>
      </c>
      <c r="C439" s="659"/>
      <c r="D439" s="232"/>
      <c r="E439" s="232"/>
      <c r="F439" s="355">
        <f t="shared" si="8"/>
        <v>12359.78</v>
      </c>
      <c r="G439" s="355">
        <v>0</v>
      </c>
      <c r="H439" s="363">
        <v>12359.78</v>
      </c>
      <c r="I439" s="278"/>
      <c r="J439" s="192"/>
    </row>
    <row r="440" spans="1:10" ht="15.75">
      <c r="A440" s="264">
        <v>11</v>
      </c>
      <c r="B440" s="658" t="s">
        <v>912</v>
      </c>
      <c r="C440" s="659"/>
      <c r="D440" s="206"/>
      <c r="E440" s="206"/>
      <c r="F440" s="355">
        <f t="shared" si="8"/>
        <v>5000</v>
      </c>
      <c r="G440" s="355">
        <v>0</v>
      </c>
      <c r="H440" s="363">
        <v>5000</v>
      </c>
      <c r="I440" s="278"/>
      <c r="J440" s="192"/>
    </row>
    <row r="441" spans="1:10" ht="15.75">
      <c r="A441" s="264">
        <v>12</v>
      </c>
      <c r="B441" s="658" t="s">
        <v>913</v>
      </c>
      <c r="C441" s="659"/>
      <c r="D441" s="206"/>
      <c r="E441" s="206"/>
      <c r="F441" s="355">
        <f t="shared" si="8"/>
        <v>5000</v>
      </c>
      <c r="G441" s="355">
        <v>0</v>
      </c>
      <c r="H441" s="363">
        <v>5000</v>
      </c>
      <c r="I441" s="278"/>
      <c r="J441" s="192"/>
    </row>
    <row r="442" spans="1:10" ht="15.75">
      <c r="A442" s="264"/>
      <c r="B442" s="547"/>
      <c r="C442" s="544"/>
      <c r="D442" s="206"/>
      <c r="E442" s="206"/>
      <c r="F442" s="206"/>
      <c r="G442" s="206"/>
      <c r="H442" s="232"/>
      <c r="I442" s="278"/>
      <c r="J442" s="192"/>
    </row>
    <row r="443" spans="1:10" ht="15.75">
      <c r="A443" s="264"/>
      <c r="B443" s="547"/>
      <c r="C443" s="544"/>
      <c r="D443" s="206"/>
      <c r="E443" s="206"/>
      <c r="F443" s="206"/>
      <c r="G443" s="206"/>
      <c r="H443" s="232"/>
      <c r="I443" s="278"/>
      <c r="J443" s="192"/>
    </row>
    <row r="444" spans="1:10" ht="15.75">
      <c r="A444" s="264"/>
      <c r="B444" s="547"/>
      <c r="C444" s="544"/>
      <c r="D444" s="206"/>
      <c r="E444" s="206"/>
      <c r="F444" s="206"/>
      <c r="G444" s="206"/>
      <c r="H444" s="232"/>
      <c r="I444" s="278"/>
      <c r="J444" s="192"/>
    </row>
    <row r="445" spans="1:10" ht="15.75">
      <c r="A445" s="264"/>
      <c r="B445" s="547"/>
      <c r="C445" s="544"/>
      <c r="D445" s="206"/>
      <c r="E445" s="206"/>
      <c r="F445" s="206"/>
      <c r="G445" s="206"/>
      <c r="H445" s="232"/>
      <c r="I445" s="278"/>
      <c r="J445" s="192"/>
    </row>
    <row r="446" spans="1:10" ht="15.75">
      <c r="A446" s="264"/>
      <c r="B446" s="547"/>
      <c r="C446" s="544"/>
      <c r="D446" s="206"/>
      <c r="E446" s="206"/>
      <c r="F446" s="206"/>
      <c r="G446" s="206"/>
      <c r="H446" s="232"/>
      <c r="I446" s="278"/>
      <c r="J446" s="192"/>
    </row>
    <row r="447" spans="1:10" s="194" customFormat="1" ht="15.75">
      <c r="A447" s="679" t="s">
        <v>571</v>
      </c>
      <c r="B447" s="680"/>
      <c r="C447" s="681"/>
      <c r="D447" s="315"/>
      <c r="E447" s="315" t="s">
        <v>562</v>
      </c>
      <c r="F447" s="292">
        <f>SUM(F430:F441)</f>
        <v>631723.93</v>
      </c>
      <c r="G447" s="312">
        <f>SUM(G430:G435)</f>
        <v>0</v>
      </c>
      <c r="H447" s="312">
        <f>SUM(H430:H441)</f>
        <v>631723.93</v>
      </c>
      <c r="I447" s="223"/>
      <c r="J447" s="223"/>
    </row>
    <row r="448" spans="1:10" s="194" customFormat="1" ht="15.75">
      <c r="A448" s="533"/>
      <c r="B448" s="533"/>
      <c r="C448" s="533"/>
      <c r="D448" s="515"/>
      <c r="E448" s="515"/>
      <c r="F448" s="534"/>
      <c r="G448" s="535"/>
      <c r="H448" s="535"/>
      <c r="I448" s="223"/>
      <c r="J448" s="223"/>
    </row>
    <row r="449" spans="1:4" ht="15.75" hidden="1">
      <c r="A449" s="194"/>
      <c r="B449" s="194" t="s">
        <v>908</v>
      </c>
      <c r="C449" s="194"/>
      <c r="D449" s="194"/>
    </row>
    <row r="450" ht="15.75" hidden="1">
      <c r="B450" s="186"/>
    </row>
    <row r="451" spans="1:10" ht="15.75" hidden="1">
      <c r="A451" s="671" t="s">
        <v>545</v>
      </c>
      <c r="B451" s="671" t="s">
        <v>566</v>
      </c>
      <c r="C451" s="673"/>
      <c r="D451" s="675" t="s">
        <v>651</v>
      </c>
      <c r="E451" s="677" t="s">
        <v>681</v>
      </c>
      <c r="F451" s="653" t="s">
        <v>579</v>
      </c>
      <c r="G451" s="653"/>
      <c r="H451" s="653"/>
      <c r="I451" s="309"/>
      <c r="J451" s="226"/>
    </row>
    <row r="452" spans="1:10" ht="47.25" hidden="1">
      <c r="A452" s="672"/>
      <c r="B452" s="672"/>
      <c r="C452" s="674"/>
      <c r="D452" s="676"/>
      <c r="E452" s="678"/>
      <c r="F452" s="227" t="s">
        <v>682</v>
      </c>
      <c r="G452" s="227" t="s">
        <v>557</v>
      </c>
      <c r="H452" s="227" t="s">
        <v>563</v>
      </c>
      <c r="I452" s="192"/>
      <c r="J452" s="228"/>
    </row>
    <row r="453" spans="1:10" ht="15.75" hidden="1">
      <c r="A453" s="232">
        <v>1</v>
      </c>
      <c r="B453" s="654">
        <v>2</v>
      </c>
      <c r="C453" s="655"/>
      <c r="D453" s="232">
        <v>3</v>
      </c>
      <c r="E453" s="232">
        <v>4</v>
      </c>
      <c r="F453" s="232">
        <v>5</v>
      </c>
      <c r="G453" s="232">
        <v>6</v>
      </c>
      <c r="H453" s="232">
        <v>7</v>
      </c>
      <c r="I453" s="278"/>
      <c r="J453" s="278"/>
    </row>
    <row r="454" spans="1:10" ht="15.75" hidden="1">
      <c r="A454" s="232">
        <v>1</v>
      </c>
      <c r="B454" s="658" t="s">
        <v>329</v>
      </c>
      <c r="C454" s="659"/>
      <c r="D454" s="232"/>
      <c r="E454" s="232"/>
      <c r="F454" s="355">
        <f>SUM(G454:H454)</f>
        <v>0</v>
      </c>
      <c r="G454" s="355">
        <v>0</v>
      </c>
      <c r="H454" s="355"/>
      <c r="I454" s="278"/>
      <c r="J454" s="278"/>
    </row>
    <row r="455" spans="1:10" ht="15.75" hidden="1">
      <c r="A455" s="232">
        <v>2</v>
      </c>
      <c r="B455" s="658" t="s">
        <v>328</v>
      </c>
      <c r="C455" s="659"/>
      <c r="D455" s="232"/>
      <c r="E455" s="232"/>
      <c r="F455" s="355">
        <f aca="true" t="shared" si="9" ref="F455:F460">SUM(G455:H455)</f>
        <v>0</v>
      </c>
      <c r="G455" s="355">
        <v>0</v>
      </c>
      <c r="H455" s="355"/>
      <c r="I455" s="278"/>
      <c r="J455" s="278"/>
    </row>
    <row r="456" spans="1:10" ht="15.75" hidden="1">
      <c r="A456" s="232">
        <v>3</v>
      </c>
      <c r="B456" s="658" t="s">
        <v>909</v>
      </c>
      <c r="C456" s="659"/>
      <c r="D456" s="232"/>
      <c r="E456" s="232"/>
      <c r="F456" s="355">
        <f t="shared" si="9"/>
        <v>0</v>
      </c>
      <c r="G456" s="355">
        <v>0</v>
      </c>
      <c r="H456" s="355"/>
      <c r="I456" s="278"/>
      <c r="J456" s="278"/>
    </row>
    <row r="457" spans="1:10" ht="15.75" hidden="1">
      <c r="A457" s="232">
        <v>4</v>
      </c>
      <c r="B457" s="658" t="s">
        <v>910</v>
      </c>
      <c r="C457" s="659"/>
      <c r="D457" s="232"/>
      <c r="E457" s="232"/>
      <c r="F457" s="355">
        <f t="shared" si="9"/>
        <v>0</v>
      </c>
      <c r="G457" s="355">
        <v>0</v>
      </c>
      <c r="H457" s="355"/>
      <c r="I457" s="278"/>
      <c r="J457" s="278"/>
    </row>
    <row r="458" spans="1:10" ht="15.75" hidden="1">
      <c r="A458" s="232">
        <v>5</v>
      </c>
      <c r="B458" s="658" t="s">
        <v>911</v>
      </c>
      <c r="C458" s="659"/>
      <c r="D458" s="232"/>
      <c r="E458" s="232"/>
      <c r="F458" s="355">
        <f t="shared" si="9"/>
        <v>0</v>
      </c>
      <c r="G458" s="355">
        <v>0</v>
      </c>
      <c r="H458" s="355"/>
      <c r="I458" s="278"/>
      <c r="J458" s="278"/>
    </row>
    <row r="459" spans="1:10" ht="15.75" hidden="1">
      <c r="A459" s="232">
        <v>7</v>
      </c>
      <c r="B459" s="658" t="s">
        <v>912</v>
      </c>
      <c r="C459" s="659"/>
      <c r="D459" s="206"/>
      <c r="E459" s="206"/>
      <c r="F459" s="355">
        <f t="shared" si="9"/>
        <v>0</v>
      </c>
      <c r="G459" s="355">
        <v>0</v>
      </c>
      <c r="H459" s="355"/>
      <c r="I459" s="278"/>
      <c r="J459" s="192"/>
    </row>
    <row r="460" spans="1:10" ht="15.75" hidden="1">
      <c r="A460" s="232">
        <v>8</v>
      </c>
      <c r="B460" s="658" t="s">
        <v>913</v>
      </c>
      <c r="C460" s="659"/>
      <c r="D460" s="206"/>
      <c r="E460" s="206"/>
      <c r="F460" s="355">
        <f t="shared" si="9"/>
        <v>0</v>
      </c>
      <c r="G460" s="355">
        <v>0</v>
      </c>
      <c r="H460" s="355"/>
      <c r="I460" s="278"/>
      <c r="J460" s="192"/>
    </row>
    <row r="461" spans="1:10" ht="16.5" hidden="1">
      <c r="A461" s="650" t="s">
        <v>571</v>
      </c>
      <c r="B461" s="651"/>
      <c r="C461" s="652"/>
      <c r="D461" s="200"/>
      <c r="E461" s="200" t="s">
        <v>562</v>
      </c>
      <c r="F461" s="522">
        <f>SUM(F454:F460)</f>
        <v>0</v>
      </c>
      <c r="G461" s="522">
        <f>SUM(G454:G460)</f>
        <v>0</v>
      </c>
      <c r="H461" s="522">
        <f>SUM(H454:H460)</f>
        <v>0</v>
      </c>
      <c r="I461" s="192"/>
      <c r="J461" s="192"/>
    </row>
    <row r="462" spans="1:11" ht="163.5" customHeight="1">
      <c r="A462" s="670" t="s">
        <v>692</v>
      </c>
      <c r="B462" s="670"/>
      <c r="C462" s="670"/>
      <c r="D462" s="670"/>
      <c r="E462" s="670"/>
      <c r="F462" s="670"/>
      <c r="G462" s="670"/>
      <c r="H462" s="670"/>
      <c r="I462" s="670"/>
      <c r="J462" s="670"/>
      <c r="K462" s="670"/>
    </row>
    <row r="463" ht="15.75">
      <c r="B463" s="186"/>
    </row>
    <row r="464" spans="1:4" ht="15.75">
      <c r="A464" s="194"/>
      <c r="B464" s="194" t="s">
        <v>947</v>
      </c>
      <c r="C464" s="194"/>
      <c r="D464" s="194"/>
    </row>
    <row r="465" ht="15.75">
      <c r="B465" s="186"/>
    </row>
    <row r="466" spans="1:10" ht="25.5" customHeight="1">
      <c r="A466" s="671" t="s">
        <v>545</v>
      </c>
      <c r="B466" s="671" t="s">
        <v>566</v>
      </c>
      <c r="C466" s="673"/>
      <c r="D466" s="675" t="s">
        <v>651</v>
      </c>
      <c r="E466" s="677" t="s">
        <v>681</v>
      </c>
      <c r="F466" s="653" t="s">
        <v>579</v>
      </c>
      <c r="G466" s="653"/>
      <c r="H466" s="653"/>
      <c r="I466" s="309"/>
      <c r="J466" s="226"/>
    </row>
    <row r="467" spans="1:10" ht="54.75" customHeight="1">
      <c r="A467" s="672"/>
      <c r="B467" s="672"/>
      <c r="C467" s="674"/>
      <c r="D467" s="676"/>
      <c r="E467" s="678"/>
      <c r="F467" s="227" t="s">
        <v>682</v>
      </c>
      <c r="G467" s="227" t="s">
        <v>557</v>
      </c>
      <c r="H467" s="227" t="s">
        <v>563</v>
      </c>
      <c r="I467" s="192"/>
      <c r="J467" s="228"/>
    </row>
    <row r="468" spans="1:10" ht="15.75" customHeight="1">
      <c r="A468" s="232">
        <v>1</v>
      </c>
      <c r="B468" s="654">
        <v>2</v>
      </c>
      <c r="C468" s="655"/>
      <c r="D468" s="232">
        <v>3</v>
      </c>
      <c r="E468" s="232">
        <v>4</v>
      </c>
      <c r="F468" s="232">
        <v>5</v>
      </c>
      <c r="G468" s="232">
        <v>6</v>
      </c>
      <c r="H468" s="232">
        <v>7</v>
      </c>
      <c r="I468" s="278"/>
      <c r="J468" s="278"/>
    </row>
    <row r="469" spans="1:10" ht="15.75">
      <c r="A469" s="206"/>
      <c r="B469" s="667"/>
      <c r="C469" s="668"/>
      <c r="D469" s="206"/>
      <c r="E469" s="206"/>
      <c r="F469" s="206"/>
      <c r="G469" s="232"/>
      <c r="H469" s="232"/>
      <c r="I469" s="278"/>
      <c r="J469" s="192"/>
    </row>
    <row r="470" spans="1:10" ht="15.75">
      <c r="A470" s="206"/>
      <c r="B470" s="667"/>
      <c r="C470" s="668"/>
      <c r="D470" s="206"/>
      <c r="E470" s="206"/>
      <c r="F470" s="206"/>
      <c r="G470" s="206"/>
      <c r="H470" s="232"/>
      <c r="I470" s="278"/>
      <c r="J470" s="192"/>
    </row>
    <row r="471" spans="1:10" ht="15.75">
      <c r="A471" s="650" t="s">
        <v>571</v>
      </c>
      <c r="B471" s="651"/>
      <c r="C471" s="652"/>
      <c r="D471" s="200"/>
      <c r="E471" s="200" t="s">
        <v>562</v>
      </c>
      <c r="F471" s="200"/>
      <c r="G471" s="206"/>
      <c r="H471" s="206"/>
      <c r="I471" s="192"/>
      <c r="J471" s="192"/>
    </row>
    <row r="474" spans="1:7" s="318" customFormat="1" ht="18.75">
      <c r="A474" s="316" t="s">
        <v>694</v>
      </c>
      <c r="B474" s="316"/>
      <c r="C474" s="316"/>
      <c r="D474" s="317"/>
      <c r="E474" s="317"/>
      <c r="F474" s="317"/>
      <c r="G474" s="317"/>
    </row>
    <row r="475" spans="1:4" s="318" customFormat="1" ht="15.75">
      <c r="A475" s="319"/>
      <c r="B475" s="320"/>
      <c r="C475" s="320"/>
      <c r="D475" s="321"/>
    </row>
    <row r="476" spans="1:5" s="318" customFormat="1" ht="42" customHeight="1">
      <c r="A476" s="322" t="s">
        <v>545</v>
      </c>
      <c r="B476" s="669" t="s">
        <v>695</v>
      </c>
      <c r="C476" s="669"/>
      <c r="D476" s="323" t="s">
        <v>696</v>
      </c>
      <c r="E476" s="324"/>
    </row>
    <row r="477" spans="1:5" s="318" customFormat="1" ht="24.75" customHeight="1">
      <c r="A477" s="325">
        <v>1</v>
      </c>
      <c r="B477" s="662" t="s">
        <v>697</v>
      </c>
      <c r="C477" s="662"/>
      <c r="D477" s="326">
        <f>J28+G105+G219+G251+F311+E368+G413+H140+G461+G447+G423+E388+F336++G228+G123+G73+J52</f>
        <v>38224991.068</v>
      </c>
      <c r="E477" s="324"/>
    </row>
    <row r="478" spans="1:5" s="318" customFormat="1" ht="24.75" customHeight="1">
      <c r="A478" s="325">
        <v>2</v>
      </c>
      <c r="B478" s="662" t="s">
        <v>563</v>
      </c>
      <c r="C478" s="662"/>
      <c r="D478" s="326">
        <f>H447+F368+G311+H251+H219+H158+H413+G314+H461+H423+F388+G336+H261+H228+H172+H399</f>
        <v>12938730.270000001</v>
      </c>
      <c r="E478" s="516"/>
    </row>
    <row r="479" spans="1:5" s="318" customFormat="1" ht="25.5" customHeight="1">
      <c r="A479" s="663" t="s">
        <v>698</v>
      </c>
      <c r="B479" s="664"/>
      <c r="C479" s="665"/>
      <c r="D479" s="327">
        <f>SUM(D477:D478)</f>
        <v>51163721.33800001</v>
      </c>
      <c r="E479" s="516"/>
    </row>
    <row r="482" spans="1:5" ht="15.75">
      <c r="A482" s="186" t="s">
        <v>699</v>
      </c>
      <c r="C482" s="186" t="s">
        <v>700</v>
      </c>
      <c r="E482" s="186" t="s">
        <v>701</v>
      </c>
    </row>
    <row r="484" spans="1:3" ht="15.75">
      <c r="A484" s="186" t="s">
        <v>13</v>
      </c>
      <c r="C484" s="186" t="s">
        <v>700</v>
      </c>
    </row>
    <row r="485" spans="1:7" s="318" customFormat="1" ht="15.75">
      <c r="A485" s="328"/>
      <c r="B485" s="329"/>
      <c r="C485" s="329"/>
      <c r="D485" s="666"/>
      <c r="E485" s="666"/>
      <c r="F485" s="666"/>
      <c r="G485" s="666"/>
    </row>
  </sheetData>
  <sheetProtection/>
  <mergeCells count="293">
    <mergeCell ref="B97:D97"/>
    <mergeCell ref="B98:D98"/>
    <mergeCell ref="B99:D99"/>
    <mergeCell ref="B100:D100"/>
    <mergeCell ref="B101:D101"/>
    <mergeCell ref="B91:D91"/>
    <mergeCell ref="B92:D92"/>
    <mergeCell ref="B93:D93"/>
    <mergeCell ref="B94:D94"/>
    <mergeCell ref="B95:D95"/>
    <mergeCell ref="B96:D96"/>
    <mergeCell ref="E1:F1"/>
    <mergeCell ref="A2:K2"/>
    <mergeCell ref="B3:I3"/>
    <mergeCell ref="A4:K4"/>
    <mergeCell ref="A12:A14"/>
    <mergeCell ref="B12:B14"/>
    <mergeCell ref="C12:C14"/>
    <mergeCell ref="D12:G12"/>
    <mergeCell ref="H12:H14"/>
    <mergeCell ref="I12:I14"/>
    <mergeCell ref="J12:J14"/>
    <mergeCell ref="K12:K14"/>
    <mergeCell ref="E13:G13"/>
    <mergeCell ref="A34:B34"/>
    <mergeCell ref="A38:A40"/>
    <mergeCell ref="B38:B40"/>
    <mergeCell ref="C38:C40"/>
    <mergeCell ref="D38:G38"/>
    <mergeCell ref="H38:H40"/>
    <mergeCell ref="I38:I40"/>
    <mergeCell ref="J38:J40"/>
    <mergeCell ref="K38:K40"/>
    <mergeCell ref="E39:G39"/>
    <mergeCell ref="A52:B52"/>
    <mergeCell ref="A55:K55"/>
    <mergeCell ref="B56:K56"/>
    <mergeCell ref="B57:I57"/>
    <mergeCell ref="A59:A60"/>
    <mergeCell ref="B59:B60"/>
    <mergeCell ref="C59:C60"/>
    <mergeCell ref="D59:D60"/>
    <mergeCell ref="E59:E60"/>
    <mergeCell ref="F59:H59"/>
    <mergeCell ref="A64:B64"/>
    <mergeCell ref="B66:F66"/>
    <mergeCell ref="A68:A69"/>
    <mergeCell ref="B68:B69"/>
    <mergeCell ref="C68:C69"/>
    <mergeCell ref="D68:D69"/>
    <mergeCell ref="E68:E69"/>
    <mergeCell ref="F68:H68"/>
    <mergeCell ref="A73:B73"/>
    <mergeCell ref="B75:I75"/>
    <mergeCell ref="A77:A78"/>
    <mergeCell ref="B77:D78"/>
    <mergeCell ref="E77:E78"/>
    <mergeCell ref="F77:H77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A105:D105"/>
    <mergeCell ref="B107:I107"/>
    <mergeCell ref="A109:A110"/>
    <mergeCell ref="B109:D110"/>
    <mergeCell ref="E109:E110"/>
    <mergeCell ref="F109:H109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A123:D123"/>
    <mergeCell ref="A126:K126"/>
    <mergeCell ref="B127:F127"/>
    <mergeCell ref="A128:K128"/>
    <mergeCell ref="A134:A135"/>
    <mergeCell ref="B134:D135"/>
    <mergeCell ref="E134:E135"/>
    <mergeCell ref="F134:F135"/>
    <mergeCell ref="G134:I134"/>
    <mergeCell ref="B136:D136"/>
    <mergeCell ref="B137:D137"/>
    <mergeCell ref="B138:D138"/>
    <mergeCell ref="B139:D139"/>
    <mergeCell ref="A140:D140"/>
    <mergeCell ref="A142:K142"/>
    <mergeCell ref="A144:K144"/>
    <mergeCell ref="A150:A151"/>
    <mergeCell ref="B150:C151"/>
    <mergeCell ref="D150:D151"/>
    <mergeCell ref="E150:E151"/>
    <mergeCell ref="F150:H150"/>
    <mergeCell ref="B152:C152"/>
    <mergeCell ref="B153:C153"/>
    <mergeCell ref="B154:C154"/>
    <mergeCell ref="B155:C155"/>
    <mergeCell ref="B156:C156"/>
    <mergeCell ref="B157:C157"/>
    <mergeCell ref="A158:C158"/>
    <mergeCell ref="A160:K160"/>
    <mergeCell ref="A166:A167"/>
    <mergeCell ref="B166:C167"/>
    <mergeCell ref="D166:D167"/>
    <mergeCell ref="E166:E167"/>
    <mergeCell ref="F166:H166"/>
    <mergeCell ref="B168:C168"/>
    <mergeCell ref="B169:C169"/>
    <mergeCell ref="B170:C170"/>
    <mergeCell ref="B171:C171"/>
    <mergeCell ref="A172:C172"/>
    <mergeCell ref="A174:K174"/>
    <mergeCell ref="A176:K176"/>
    <mergeCell ref="A177:E177"/>
    <mergeCell ref="A182:A183"/>
    <mergeCell ref="B182:B183"/>
    <mergeCell ref="C182:C183"/>
    <mergeCell ref="D182:D183"/>
    <mergeCell ref="E182:G182"/>
    <mergeCell ref="A187:B187"/>
    <mergeCell ref="A189:K189"/>
    <mergeCell ref="A191:K191"/>
    <mergeCell ref="A197:A198"/>
    <mergeCell ref="B197:B198"/>
    <mergeCell ref="C197:C198"/>
    <mergeCell ref="D197:D198"/>
    <mergeCell ref="E197:G197"/>
    <mergeCell ref="A202:B202"/>
    <mergeCell ref="A204:K204"/>
    <mergeCell ref="A206:K206"/>
    <mergeCell ref="A214:A215"/>
    <mergeCell ref="B214:B215"/>
    <mergeCell ref="C214:C215"/>
    <mergeCell ref="D214:D215"/>
    <mergeCell ref="E214:E215"/>
    <mergeCell ref="F214:H214"/>
    <mergeCell ref="A219:B219"/>
    <mergeCell ref="A223:A224"/>
    <mergeCell ref="B223:B224"/>
    <mergeCell ref="C223:C224"/>
    <mergeCell ref="D223:D224"/>
    <mergeCell ref="E223:E224"/>
    <mergeCell ref="F223:H223"/>
    <mergeCell ref="A228:B228"/>
    <mergeCell ref="A230:K230"/>
    <mergeCell ref="A234:A235"/>
    <mergeCell ref="B234:B235"/>
    <mergeCell ref="C234:C235"/>
    <mergeCell ref="D234:D235"/>
    <mergeCell ref="E234:G234"/>
    <mergeCell ref="A239:B239"/>
    <mergeCell ref="A241:K241"/>
    <mergeCell ref="A245:A246"/>
    <mergeCell ref="B245:B246"/>
    <mergeCell ref="C245:C246"/>
    <mergeCell ref="D245:D246"/>
    <mergeCell ref="E245:E246"/>
    <mergeCell ref="F245:H245"/>
    <mergeCell ref="A251:B251"/>
    <mergeCell ref="A255:A256"/>
    <mergeCell ref="B255:B256"/>
    <mergeCell ref="C255:C256"/>
    <mergeCell ref="D255:D256"/>
    <mergeCell ref="E255:E256"/>
    <mergeCell ref="F255:H255"/>
    <mergeCell ref="A261:B261"/>
    <mergeCell ref="A263:K263"/>
    <mergeCell ref="A267:A268"/>
    <mergeCell ref="B267:B268"/>
    <mergeCell ref="C267:C268"/>
    <mergeCell ref="D267:D268"/>
    <mergeCell ref="E267:G267"/>
    <mergeCell ref="A272:B272"/>
    <mergeCell ref="A274:K274"/>
    <mergeCell ref="A278:A279"/>
    <mergeCell ref="B278:B279"/>
    <mergeCell ref="C278:C279"/>
    <mergeCell ref="D278:D279"/>
    <mergeCell ref="E278:G278"/>
    <mergeCell ref="A311:B311"/>
    <mergeCell ref="A314:B314"/>
    <mergeCell ref="A318:A319"/>
    <mergeCell ref="B318:B319"/>
    <mergeCell ref="C318:C319"/>
    <mergeCell ref="D318:D319"/>
    <mergeCell ref="E318:G318"/>
    <mergeCell ref="A336:B336"/>
    <mergeCell ref="A338:K338"/>
    <mergeCell ref="A342:A343"/>
    <mergeCell ref="B342:B343"/>
    <mergeCell ref="C342:C343"/>
    <mergeCell ref="D342:F342"/>
    <mergeCell ref="D394:D395"/>
    <mergeCell ref="E394:E395"/>
    <mergeCell ref="A368:B368"/>
    <mergeCell ref="A372:A373"/>
    <mergeCell ref="B372:B373"/>
    <mergeCell ref="C372:C373"/>
    <mergeCell ref="D372:F372"/>
    <mergeCell ref="A388:B388"/>
    <mergeCell ref="B409:C409"/>
    <mergeCell ref="B411:C411"/>
    <mergeCell ref="A390:K390"/>
    <mergeCell ref="A403:A404"/>
    <mergeCell ref="B403:C404"/>
    <mergeCell ref="D403:D404"/>
    <mergeCell ref="E403:E404"/>
    <mergeCell ref="F403:H403"/>
    <mergeCell ref="A394:A395"/>
    <mergeCell ref="B394:C395"/>
    <mergeCell ref="B419:C419"/>
    <mergeCell ref="B420:C420"/>
    <mergeCell ref="B422:C422"/>
    <mergeCell ref="B405:C405"/>
    <mergeCell ref="B406:C406"/>
    <mergeCell ref="B407:C407"/>
    <mergeCell ref="B408:C408"/>
    <mergeCell ref="A413:C413"/>
    <mergeCell ref="A417:A418"/>
    <mergeCell ref="B417:C418"/>
    <mergeCell ref="D427:D428"/>
    <mergeCell ref="E427:E428"/>
    <mergeCell ref="F427:H427"/>
    <mergeCell ref="D417:D418"/>
    <mergeCell ref="E417:E418"/>
    <mergeCell ref="F417:H417"/>
    <mergeCell ref="B432:C432"/>
    <mergeCell ref="B433:C433"/>
    <mergeCell ref="B434:C434"/>
    <mergeCell ref="A423:C423"/>
    <mergeCell ref="A427:A428"/>
    <mergeCell ref="B427:C428"/>
    <mergeCell ref="A447:C447"/>
    <mergeCell ref="A451:A452"/>
    <mergeCell ref="B451:C452"/>
    <mergeCell ref="D451:D452"/>
    <mergeCell ref="E451:E452"/>
    <mergeCell ref="B436:C436"/>
    <mergeCell ref="B437:C437"/>
    <mergeCell ref="B438:C438"/>
    <mergeCell ref="B439:C439"/>
    <mergeCell ref="F451:H451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A461:C461"/>
    <mergeCell ref="A462:K462"/>
    <mergeCell ref="A466:A467"/>
    <mergeCell ref="B466:C467"/>
    <mergeCell ref="D466:D467"/>
    <mergeCell ref="E466:E467"/>
    <mergeCell ref="F466:H466"/>
    <mergeCell ref="B478:C478"/>
    <mergeCell ref="A479:C479"/>
    <mergeCell ref="D485:E485"/>
    <mergeCell ref="F485:G485"/>
    <mergeCell ref="B468:C468"/>
    <mergeCell ref="B469:C469"/>
    <mergeCell ref="B470:C470"/>
    <mergeCell ref="A471:C471"/>
    <mergeCell ref="B476:C476"/>
    <mergeCell ref="B477:C477"/>
    <mergeCell ref="A399:C399"/>
    <mergeCell ref="F394:H394"/>
    <mergeCell ref="B396:C396"/>
    <mergeCell ref="B397:C397"/>
    <mergeCell ref="B440:C440"/>
    <mergeCell ref="B441:C441"/>
    <mergeCell ref="B435:C435"/>
    <mergeCell ref="B429:C429"/>
    <mergeCell ref="B430:C430"/>
    <mergeCell ref="B431:C4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1" r:id="rId1"/>
  <rowBreaks count="6" manualBreakCount="6">
    <brk id="56" max="255" man="1"/>
    <brk id="127" max="255" man="1"/>
    <brk id="175" max="255" man="1"/>
    <brk id="231" max="255" man="1"/>
    <brk id="337" max="10" man="1"/>
    <brk id="4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2014-12-22T05:28:18Z</cp:lastPrinted>
  <dcterms:created xsi:type="dcterms:W3CDTF">2006-09-28T05:33:49Z</dcterms:created>
  <dcterms:modified xsi:type="dcterms:W3CDTF">2019-07-30T04:06:57Z</dcterms:modified>
  <cp:category/>
  <cp:version/>
  <cp:contentType/>
  <cp:contentStatus/>
</cp:coreProperties>
</file>