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75" windowHeight="12015" tabRatio="828" firstSheet="2" activeTab="2"/>
  </bookViews>
  <sheets>
    <sheet name="титульный лист + раздел 1" sheetId="1" r:id="rId1"/>
    <sheet name="раздел 2  на 01.01.19 " sheetId="2" r:id="rId2"/>
    <sheet name="раздел 3 (табл.2,3,4)" sheetId="3" r:id="rId3"/>
    <sheet name="Отраслевой код" sheetId="4" r:id="rId4"/>
    <sheet name="код субсидии" sheetId="5" r:id="rId5"/>
    <sheet name="табл.5" sheetId="6" r:id="rId6"/>
    <sheet name="раздел 4 (табл.6)" sheetId="7" r:id="rId7"/>
    <sheet name="раздел 5(табл.7)" sheetId="8" r:id="rId8"/>
    <sheet name="ФЭО МЗ" sheetId="9" r:id="rId9"/>
    <sheet name="ФЭО ИЦ" sheetId="10" r:id="rId10"/>
    <sheet name="ФЭО СС" sheetId="11" r:id="rId11"/>
  </sheets>
  <definedNames>
    <definedName name="_xlfn.AVERAGEIF" hidden="1">#NAME?</definedName>
    <definedName name="_xlnm._FilterDatabase" localSheetId="3" hidden="1">'Отраслевой код'!$B$3:$E$35</definedName>
    <definedName name="_xlnm._FilterDatabase" localSheetId="1" hidden="1">'раздел 2  на 01.01.19 '!$B$4:$C$94</definedName>
    <definedName name="_xlnm.Print_Area" localSheetId="1">'раздел 2  на 01.01.19 '!$A$1:$C$158</definedName>
    <definedName name="_xlnm.Print_Area" localSheetId="2">'раздел 3 (табл.2,3,4)'!$A$1:$N$509</definedName>
    <definedName name="_xlnm.Print_Area" localSheetId="7">'раздел 5(табл.7)'!$A$1:$G$36</definedName>
    <definedName name="_xlnm.Print_Area" localSheetId="5">'табл.5'!$A$1:$L$34</definedName>
    <definedName name="_xlnm.Print_Area" localSheetId="0">'титульный лист + раздел 1'!$A$1:$H$54</definedName>
    <definedName name="_xlnm.Print_Area" localSheetId="9">'ФЭО ИЦ'!$A$1:$K$250</definedName>
    <definedName name="_xlnm.Print_Area" localSheetId="8">'ФЭО МЗ'!$A$1:$K$267</definedName>
    <definedName name="_xlnm.Print_Area" localSheetId="10">'ФЭО СС'!$A$1:$K$255</definedName>
  </definedNames>
  <calcPr fullCalcOnLoad="1"/>
</workbook>
</file>

<file path=xl/sharedStrings.xml><?xml version="1.0" encoding="utf-8"?>
<sst xmlns="http://schemas.openxmlformats.org/spreadsheetml/2006/main" count="2698" uniqueCount="768">
  <si>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</si>
  <si>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</si>
  <si>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</si>
  <si>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</si>
  <si>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</si>
  <si>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</si>
  <si>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</si>
  <si>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</si>
  <si>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</si>
  <si>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>III. Показатели по поступлениям и выплатам  муниципального учреждения</t>
  </si>
  <si>
    <t>Х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</si>
  <si>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</si>
  <si>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</si>
  <si>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</si>
  <si>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</si>
  <si>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</si>
  <si>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</si>
  <si>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</si>
  <si>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</si>
  <si>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</si>
  <si>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</si>
  <si>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</si>
  <si>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</si>
  <si>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</si>
  <si>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</si>
  <si>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</si>
  <si>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</si>
  <si>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</si>
  <si>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</si>
  <si>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к Порядку составления и утверждения </t>
  </si>
  <si>
    <t xml:space="preserve">ИНН / КПП              </t>
  </si>
  <si>
    <t>Приложение 1</t>
  </si>
  <si>
    <t>доходы от собственности</t>
  </si>
  <si>
    <t>Всего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</si>
  <si>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</si>
  <si>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</si>
  <si>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</si>
  <si>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</si>
  <si>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</si>
  <si>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</si>
  <si>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</si>
  <si>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</si>
  <si>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</si>
  <si>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</si>
  <si>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</si>
  <si>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</si>
  <si>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</si>
  <si>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</si>
  <si>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</si>
  <si>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</si>
  <si>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поступления от оказания услуг (выполнения работ) на платной основе и от иной приносящей доход деятельности</t>
  </si>
  <si>
    <t>Нормативные затраты на содержание имущества</t>
  </si>
  <si>
    <t>Затраты на уплату налогов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</si>
  <si>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</si>
  <si>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</si>
  <si>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</si>
  <si>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</si>
  <si>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</si>
  <si>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</si>
  <si>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</si>
  <si>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</si>
  <si>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</si>
  <si>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</si>
  <si>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</si>
  <si>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</si>
  <si>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</si>
  <si>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</si>
  <si>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</si>
  <si>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</si>
  <si>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</si>
  <si>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</si>
  <si>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</si>
  <si>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</si>
  <si>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</si>
  <si>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</si>
  <si>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</si>
  <si>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0001</t>
  </si>
  <si>
    <t>Таблица 3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</si>
  <si>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</si>
  <si>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При этом необходимо обеспечить соотношение следующих показателей: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</si>
  <si>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</si>
  <si>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</si>
  <si>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</si>
  <si>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</si>
  <si>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</si>
  <si>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</si>
  <si>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</si>
  <si>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</si>
  <si>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</si>
  <si>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</si>
  <si>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</si>
  <si>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</si>
  <si>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</si>
  <si>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</si>
  <si>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</si>
  <si>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</si>
  <si>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</si>
  <si>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</si>
  <si>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</si>
  <si>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</si>
  <si>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</si>
  <si>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</si>
  <si>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</si>
  <si>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</si>
  <si>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</si>
  <si>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</si>
  <si>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>особо ценное движимое имущество, всего:</t>
  </si>
  <si>
    <t xml:space="preserve">Финансовые активы, всего: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</si>
  <si>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</si>
  <si>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</si>
  <si>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</si>
  <si>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</si>
  <si>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</si>
  <si>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</si>
  <si>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</si>
  <si>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</si>
  <si>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</si>
  <si>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</si>
  <si>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</si>
  <si>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</si>
  <si>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</si>
  <si>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</si>
  <si>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</si>
  <si>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</si>
  <si>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</si>
  <si>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</si>
  <si>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</si>
  <si>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</si>
  <si>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</si>
  <si>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</si>
  <si>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</si>
  <si>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</si>
  <si>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>Адрес фактического местонахождения муниципального учреждения:</t>
  </si>
  <si>
    <t>добровольные пожертвования</t>
  </si>
  <si>
    <t>иные доходы</t>
  </si>
  <si>
    <t>1.3. Перечень услуг (работ),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осуществляется, в том числе за плату:</t>
  </si>
  <si>
    <t xml:space="preserve">из них: 
недвижимое имущество, всего:                               </t>
  </si>
  <si>
    <t>№ п/п</t>
  </si>
  <si>
    <t>материальные запасы</t>
  </si>
  <si>
    <t>непроизведенные активы (стоимость земли)</t>
  </si>
  <si>
    <t xml:space="preserve">из них:  денежные средства учреждения, всего       </t>
  </si>
  <si>
    <t xml:space="preserve">в том числе: денежные средства учреждения на счетах          </t>
  </si>
  <si>
    <t>дебиторская задолженность по расходам, всего</t>
  </si>
  <si>
    <t xml:space="preserve">в том числе:   по выданным авансам на услуги связи       </t>
  </si>
  <si>
    <t xml:space="preserve">по выданным авансам на командировочные расходы  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</si>
  <si>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           </t>
  </si>
  <si>
    <t xml:space="preserve">в том числе: по выданным авансам на услуги связи       </t>
  </si>
  <si>
    <t>по выданным авансам на командировочные расходы</t>
  </si>
  <si>
    <t>дебиторская задолженность по выданным авансам, полученным за счет средств обязательного медицинского страхования, всего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</si>
  <si>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</si>
  <si>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</si>
  <si>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</si>
  <si>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</si>
  <si>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</si>
  <si>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</si>
  <si>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дебиторская задолженность по расходам на осуществление бюджетных инвестиций</t>
  </si>
  <si>
    <t>кредиторская задолженность всего:</t>
  </si>
  <si>
    <t xml:space="preserve">в том числе: по оплате труда </t>
  </si>
  <si>
    <t>по начислениям на выплаты по оплате труда</t>
  </si>
  <si>
    <t xml:space="preserve">по платежам в бюджет               </t>
  </si>
  <si>
    <t>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</si>
  <si>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</si>
  <si>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расходам за счет бюджетных инвестиций</t>
  </si>
  <si>
    <t>Код субсидии</t>
  </si>
  <si>
    <t>КВР</t>
  </si>
  <si>
    <t>КОСГУ</t>
  </si>
  <si>
    <t>субсидии, предоставляемые в соответствии с абзацем вторым пункта 1 статьи 78.1 Бюджетного кодекса Российской Федерации</t>
  </si>
  <si>
    <t>иные субсидии, предоставленные из бюджета</t>
  </si>
  <si>
    <t>Для каких типов учреждений</t>
  </si>
  <si>
    <t>ДОУ</t>
  </si>
  <si>
    <t>Обеспечение деятельности (оказание услуг, выполнение работ) подведомственных учреждений, в том числе на предоставление муниципальным бюджетным и автономным учреждениям субсидий</t>
  </si>
  <si>
    <t>Единая субвенция на выполнение отдельных государственных полномочий в сфере образования</t>
  </si>
  <si>
    <t>Направления расходов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</si>
  <si>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</si>
  <si>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Ремонты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</si>
  <si>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</si>
  <si>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ДОУ,СОШ,УДО</t>
  </si>
  <si>
    <t>Основное мероприятие "Приобретение оборудования, мебели, инвентаря, материальных запасов для вновь приобретаемых (построенных) и реконструированных образовательных организаций"</t>
  </si>
  <si>
    <t>Приобретение оборудование</t>
  </si>
  <si>
    <t>Капитальный ремонт</t>
  </si>
  <si>
    <t>Целевые субсидии организациям дошкольного образования на аренду имущественных комплексов</t>
  </si>
  <si>
    <t>Аренда Мотовилихинских заводов</t>
  </si>
  <si>
    <t>СОШ</t>
  </si>
  <si>
    <t>СОШ, структурные подразделения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</si>
  <si>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</si>
  <si>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Коррекционные школы</t>
  </si>
  <si>
    <t>Коррекционные школы,СОШ, структурные подразделения</t>
  </si>
  <si>
    <t>ФМО нормативные затраты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</si>
  <si>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</si>
  <si>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Коррекционные школы,СОШ</t>
  </si>
  <si>
    <t>Целевая субсидия кадетской школе на предоставление бесплатного питания учащимся</t>
  </si>
  <si>
    <t>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</si>
  <si>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>Питание детей в Кадетской школе</t>
  </si>
  <si>
    <t>музей "Дом Дягилева Гимназия №11</t>
  </si>
  <si>
    <t>УДО</t>
  </si>
  <si>
    <t>Целевая субсидия на проведение акции для детей города Перми "Почта Деда Мороза"</t>
  </si>
  <si>
    <t>Целевая субсидия на реализацию историко-культурной образовательной программы</t>
  </si>
  <si>
    <t>Мероприятие ГДТЮ</t>
  </si>
  <si>
    <t>07 2 01 006501</t>
  </si>
  <si>
    <t>Мероприятия по организации оздоровления и отдыха детей</t>
  </si>
  <si>
    <t>Мероприятия, направленные на первичную профилактику употребления психоактивных веществ</t>
  </si>
  <si>
    <t>Предоставление услуг иными государственными (муниципальными) учреждениями, не осуществляющими образовательный процесс</t>
  </si>
  <si>
    <t>Основное мероприятие "Организация и проведение мероприятий по содействию формирования гармоничной межнациональной ситуации в городе Перми"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</si>
  <si>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</si>
  <si>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</si>
  <si>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проведение мероприятий "Уроки о бюджете"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</si>
  <si>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</si>
  <si>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 санаторно-курортное лечение и оздоровление бюджет города Перми</t>
  </si>
  <si>
    <t xml:space="preserve"> санаторно-курортное лечение и оздоровление бюджет Пермского края</t>
  </si>
  <si>
    <t>07 3 01 005901</t>
  </si>
  <si>
    <t>прочие доходы, в том числе:</t>
  </si>
  <si>
    <t>доходы от операций с активами, в том числе:</t>
  </si>
  <si>
    <t>Предоставление мер социальной поддержки педагогическим работникам государственных и муниципальных организаций Пермского края,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</si>
  <si>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Село</t>
  </si>
  <si>
    <t>Предоставление мер социальной поддержки педагогическим работникам образовательных организаций</t>
  </si>
  <si>
    <t>Статья 23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</si>
  <si>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</si>
  <si>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Бесплатное двухразовое питание</t>
  </si>
  <si>
    <t>Целевая субсидия общеобразовательным организациям на предоставление бесплатного питания отдельным категориям учащихся</t>
  </si>
  <si>
    <t>Бесплатное питание отдельным категориям учащихся</t>
  </si>
  <si>
    <t>МЗ этапы ССМ, ВСМ</t>
  </si>
  <si>
    <t>Отраслевой показатель</t>
  </si>
  <si>
    <t>Беспрепятственный доступ для инвалидов</t>
  </si>
  <si>
    <t>Прочие учреждения</t>
  </si>
  <si>
    <t>Кандидаты</t>
  </si>
  <si>
    <t xml:space="preserve"> Субсидии на иные цели</t>
  </si>
  <si>
    <t xml:space="preserve"> Субсидия на финансовое обеспечение выполнения муниципального задания</t>
  </si>
  <si>
    <t xml:space="preserve"> Не указано</t>
  </si>
  <si>
    <t xml:space="preserve"> Мероприятия, направленные на решение отдельных вопросов местного значения в микрорайонах города Перми</t>
  </si>
  <si>
    <t xml:space="preserve"> Меры социальной поддержки педагогических работников - средства г. Перми</t>
  </si>
  <si>
    <t xml:space="preserve"> Обеспечение работников путевками на санаторно-курортное лечение и оздоровление-средства г. Перми</t>
  </si>
  <si>
    <t xml:space="preserve"> Мероприятия по профилактике правонарушений на территории города Перми среди несовершеннолетних</t>
  </si>
  <si>
    <t xml:space="preserve"> Мероприятия по первичной профилактике употребления психоактивных веществ</t>
  </si>
  <si>
    <t xml:space="preserve"> Приобретение оборудования, мебели, инвентаря, материальных запасов для вновь приобретаемых (построенных) дошкольных образовательных организаций</t>
  </si>
  <si>
    <t xml:space="preserve"> Меры социальной поддержки учащимся из многодетных малоимущих семей</t>
  </si>
  <si>
    <t>Меры социальной поддержки учащимся из малоимущих семей</t>
  </si>
  <si>
    <t>Вознаграждение за выполнение функций классного руководителя педагогическим работникам</t>
  </si>
  <si>
    <t>Наименование кодов субсидии</t>
  </si>
  <si>
    <t xml:space="preserve"> 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учреждениях Пермского края</t>
  </si>
  <si>
    <t>Меры социальной поддержки педагогическим работникам муниципальных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</si>
  <si>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Организация подвоза учащихся на учебные занятия и обратно из отдаленных микрорайнов</t>
  </si>
  <si>
    <t>Предоставление бесплатного питания отдельным категориям учащихся в общеобразовательных учреждениях</t>
  </si>
  <si>
    <t xml:space="preserve"> Приведение имущественных комплексов образовательных учреждений в соответствие с требованиями действующего законодательства</t>
  </si>
  <si>
    <t xml:space="preserve"> Восстановление дошкольных образовательных учреждений, закрытых на капитальный ремонт, ранее перепрофилированных групп в дошкольных образовательных учреждениях</t>
  </si>
  <si>
    <t xml:space="preserve"> Оборудование объектов социальной инфраструктуры средствами беспрепятственного доступа</t>
  </si>
  <si>
    <t>Мероприятия в области инновационного развития системы образования</t>
  </si>
  <si>
    <t xml:space="preserve"> Предоставление бесплатного питания учащимся кадетской школы города Перми</t>
  </si>
  <si>
    <t xml:space="preserve"> Мероприятия в области образования</t>
  </si>
  <si>
    <t xml:space="preserve"> Аренда, не включенная в стоимость услуги</t>
  </si>
  <si>
    <t xml:space="preserve"> Расходы, связанные с подготовкой имущественного комплекса к организации оказания муниципальных услуг</t>
  </si>
  <si>
    <t xml:space="preserve"> Содержание временно не функционирующих имущественных комплексов муниципальных образовательных учреждений</t>
  </si>
  <si>
    <t>Проведение акции для детей города Перми "Почта Деда Мороза"</t>
  </si>
  <si>
    <t xml:space="preserve"> Средства на повышение стимулирующей части фонда оплаты труда</t>
  </si>
  <si>
    <t xml:space="preserve"> Повышение фонда оплаты труда</t>
  </si>
  <si>
    <t xml:space="preserve"> Приобретение оборудования, мебели, инвентаря, материальных запасов для вновь приобретаемых (построенных) и реконструируемых образовательных организаций</t>
  </si>
  <si>
    <t xml:space="preserve"> Поддержка муниципальных программ, направленных на укрепление гражданского единства и гармонизацию межнациональных отношений</t>
  </si>
  <si>
    <t>Целевая субсидия организациям дошкольного образования на проведение иммунизации против гепатита «А»</t>
  </si>
  <si>
    <t xml:space="preserve"> Меры социальной поддержки педагогических работников - средства Пермского края</t>
  </si>
  <si>
    <t xml:space="preserve"> Обеспечение работников путевками на санаторно-курортное лечение и оздоровление-средства Пермского края</t>
  </si>
  <si>
    <t xml:space="preserve"> Реализация мероприятий, связанных с подготовкой к открытию МАДОУ «Конструктор успеха» г. Перми</t>
  </si>
  <si>
    <t xml:space="preserve">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</si>
  <si>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Организация и проведение физкультурных и спортивных мероприятий на территории города Перми</t>
  </si>
  <si>
    <t xml:space="preserve"> Внедрение федеральных государственных образовательных стандартов дошкольного образования</t>
  </si>
  <si>
    <t>Расходы на приобретение оборудования и карт для системы электронного учета услуг дополнительного образования</t>
  </si>
  <si>
    <t xml:space="preserve"> Выплата единовременной премии обучающимся, награжденным знаком отличия Пермского края "Гордость Пермского края"</t>
  </si>
  <si>
    <t xml:space="preserve"> Реализация комплексных инвестиционных проектов по развитию инновационных территориальных кластеров</t>
  </si>
  <si>
    <t xml:space="preserve"> Оплата взносов на капитальный ремонт</t>
  </si>
  <si>
    <t xml:space="preserve"> Целевые субсидии на льготную категорию родителей (законных представителей) с которых плата за присмотр и уход за детьми не взимается или ее размер снижается</t>
  </si>
  <si>
    <t xml:space="preserve"> 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</si>
  <si>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 xml:space="preserve"> Предоставление бесплатного двухразового питания учащимся с ограниченными возможностями здоровья</t>
  </si>
  <si>
    <t>Стимулирование педагогических работников по результатам обучения школьников</t>
  </si>
  <si>
    <t xml:space="preserve"> Проведение мероприятий по оказанию кризисной помощи детям и подросткам, находящимся в трудной жизненной ситуации</t>
  </si>
  <si>
    <t xml:space="preserve"> Проведение мероприятий по ранней профилактике правонарушений среди несовершеннолетних</t>
  </si>
  <si>
    <t>Расходы на ведение электронных дневников и журналов</t>
  </si>
  <si>
    <t xml:space="preserve"> Расходы на приобретение аттестатов об основном общем образовании и среднем общем образовании и приложений, аттестатов об основном общем образовании и среднем образовании с отличием и приложений</t>
  </si>
  <si>
    <t xml:space="preserve"> Расходы на организацию проведения единого государственного экзамена в 11-м классе</t>
  </si>
  <si>
    <t>Расходы на приобретение медалей "За особые успехи в учении"</t>
  </si>
  <si>
    <t xml:space="preserve"> Расходы на организацию проведения государственной (итоговой) аттестации в 9 классе</t>
  </si>
  <si>
    <t>Реализация мероприятий, связанных с подготовкой к открытию муниципального автономного общеобразовательного учреждения «Средняя общеобразовательная школа «Мастерград»</t>
  </si>
  <si>
    <t>Целевая субсидия муниципальным учреждениям на организацию оздоровления и отдыха детей</t>
  </si>
  <si>
    <t xml:space="preserve"> Единовременная денежная выплата обучающимся из малоимущих семей, поступившим в первый класс общеобразовательной организации</t>
  </si>
  <si>
    <t>Расходы на реализацию историко-культурной образовательной программы</t>
  </si>
  <si>
    <t xml:space="preserve"> Расходы на предоставление общедоступного и бесплатного дошкольного, начального, основного, среднего общего образования в оздоровительных образовательных организациях санаторного типа для детей, нуждающихся в длительном лечении</t>
  </si>
  <si>
    <t xml:space="preserve">Мероприятия </t>
  </si>
  <si>
    <t>Мероприятия ИЦРСО</t>
  </si>
  <si>
    <t>Мероприятия ЦПМС</t>
  </si>
  <si>
    <t>Мероприятия уроки о бюджете</t>
  </si>
  <si>
    <t>на 2020 г., 1-ый год планового периода</t>
  </si>
  <si>
    <t>№ 44-ФЗ «О контрактной системе в сфере закупок товаров, работ, услуг для обеспечения государственных и муниципальных нужд»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</si>
  <si>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контрактам, заключенным 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44-ФЗ), а в графах 10 - 12 - по договорам, заключенным в соответствии с Федеральным законом от 18 июля 2011 г. № 223-ФЗ «О закупках товаров, работ, услуг отдельными видами юридических лиц» (далее - Федеральный закон № 223-ФЗ);</t>
  </si>
  <si>
    <t>по строке 2001 -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муниципальных нужд либо направить приглашение принять участие в определении поставщика (подрядчика, исполнителя) или проект контракта, а в графах 10 - 12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</si>
  <si>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>1) показатели граф 4 - 12 по строке 0001 должны быть равны сумме показателей соответствующих граф по строкам 1001 и 2001;</t>
  </si>
  <si>
    <t>5) показатели по строке 0001 граф 7 - 9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</si>
  <si>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2.6 в графах 9 - 12 таблицы 2 на соответствующий год;</t>
  </si>
  <si>
    <t>б) для автономных учреждений не могут быть меньше показателей по строке 2.6 в графе 11 таблицы 2 на соответствующий год;</t>
  </si>
  <si>
    <t>6) для бюджетных учреждений показатели строки 0001 граф 10 - 12 не могут быть больше показателей строки 2.6 графы 13 таблицы 2 на соответствующий год;</t>
  </si>
  <si>
    <t>на выплату персоналу, всего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</si>
  <si>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</si>
  <si>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</si>
  <si>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</si>
  <si>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иные выплаты, за исключением фонда оплаты труда учреждений, лицам, привлекаемых огласно законодательству для выполнения отдельных полномочий</t>
  </si>
  <si>
    <t>начисления на выплаты по оплате труда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</si>
  <si>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</si>
  <si>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</si>
  <si>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</si>
  <si>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</si>
  <si>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</si>
  <si>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исполнение судебных актов</t>
  </si>
  <si>
    <t>уплата налогов, сборов и иных платежей</t>
  </si>
  <si>
    <t>уплата налога на имущества организаций и земельного налога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</si>
  <si>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</si>
  <si>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</si>
  <si>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</si>
  <si>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</si>
  <si>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</si>
  <si>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</si>
  <si>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</si>
  <si>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</si>
  <si>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услуги, всего</t>
  </si>
  <si>
    <t>оплата тепловой энергии</t>
  </si>
  <si>
    <t>оплата потребления газа</t>
  </si>
  <si>
    <t>оплата электрической энергии</t>
  </si>
  <si>
    <t>оплата водоснабжения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</si>
  <si>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</si>
  <si>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</si>
  <si>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</si>
  <si>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поступление нематериальных активов</t>
  </si>
  <si>
    <t>поступление материальных запасов, всего</t>
  </si>
  <si>
    <t>медикаменты</t>
  </si>
  <si>
    <t>продукты питания</t>
  </si>
  <si>
    <t>прочие материальные запасы</t>
  </si>
  <si>
    <t>приобретение печного топлива</t>
  </si>
  <si>
    <t>Бюджетные инвестиции</t>
  </si>
  <si>
    <t>прочие работы, услуги, всего</t>
  </si>
  <si>
    <t>услуги по организации питания</t>
  </si>
  <si>
    <t>проведение лабораторных и инструментальных исследований</t>
  </si>
  <si>
    <t>прочие работы, услуги</t>
  </si>
  <si>
    <t>Планируемый остаток средств на начало планируемого года</t>
  </si>
  <si>
    <t>Отраслевой код</t>
  </si>
  <si>
    <t>Реализация, присмотр и уход (местный бюджет),земельный налог, налог на имущество, льготная категория детей, нормативные затраты</t>
  </si>
  <si>
    <t>Реализация, присмотр и уход (ФМО местный бюджет), земельный налог, налог на имущество, льготная категория детей, нормативные затраты</t>
  </si>
  <si>
    <t>ФОТ,ФМО Бюджет Пермского края+инновации+электронные дневники+ГИА+ЕГЭ+ аттестаты+медали+больницы+малоимущие+малоимущие многодетные, ст.23+ классное руководство</t>
  </si>
  <si>
    <t>Реализация основных общеобразовательных программ дошкольного образования</t>
  </si>
  <si>
    <t>Присмотр и уход</t>
  </si>
  <si>
    <t xml:space="preserve">
Реализация основных общеобразовательных программ начального общего образования
</t>
  </si>
  <si>
    <t xml:space="preserve">
Реализация основных общеобразовательных программ основного общего образования
</t>
  </si>
  <si>
    <t xml:space="preserve">
Реализация основных общеобразовательных программ среднего общего образования
</t>
  </si>
  <si>
    <t xml:space="preserve">
Содержание детей
</t>
  </si>
  <si>
    <t xml:space="preserve">
Реализация дополнительных общеобразовательных предпрофессиональных программ в области физической культуры и спорта
</t>
  </si>
  <si>
    <t xml:space="preserve">
Спортивная подготовка по олимпийским видам спорта
</t>
  </si>
  <si>
    <t xml:space="preserve">
Психолого-медико-педагогического обследования детей
</t>
  </si>
  <si>
    <t xml:space="preserve">
Оказание социально-психологической помощи детям с проблемами в развитии, обучении и социальной адаптации (проект)
</t>
  </si>
  <si>
    <t xml:space="preserve">
Образовательная услуга дополнительного образования взрослых (проект)
</t>
  </si>
  <si>
    <t xml:space="preserve">
Организационно-методическая услуга дополнительного образования взрослых (проект)
</t>
  </si>
  <si>
    <t>УДО,СОШ</t>
  </si>
  <si>
    <t xml:space="preserve">МЗ УДО, уникальные </t>
  </si>
  <si>
    <t xml:space="preserve">Реализация 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</si>
  <si>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</si>
  <si>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</si>
  <si>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штрафы за нарушение законодательства о закупках и нарушений </t>
  </si>
  <si>
    <t>штрафные санкции по долговым обязательствам</t>
  </si>
  <si>
    <t>другие экономические санкции</t>
  </si>
  <si>
    <t>иные расходы</t>
  </si>
  <si>
    <t>00000000000</t>
  </si>
  <si>
    <t>в том числе</t>
  </si>
  <si>
    <t>доходы от операционной аренды</t>
  </si>
  <si>
    <t>проценты по депозитам, остаткам денежных средств</t>
  </si>
  <si>
    <t>доходы от оказания услуг (работ), компенсаций затрат, в том числе:</t>
  </si>
  <si>
    <t>Доходы от компенсации затрат</t>
  </si>
  <si>
    <t>доходы от штрафных санкций за нарушение законодательства о закупках и нарушение условий контрактов (договоров)</t>
  </si>
  <si>
    <t>доходы от штрашных санкций по долговым обязательствам</t>
  </si>
  <si>
    <t>страховые возмещения</t>
  </si>
  <si>
    <t>возмещение ущерба имуществу</t>
  </si>
  <si>
    <t>прочие доходы от сумм принудительного изъятия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</si>
  <si>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</si>
  <si>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</si>
  <si>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непроизводственных активов</t>
  </si>
  <si>
    <t>уменьшение стоимости права пользования активом</t>
  </si>
  <si>
    <t>транспортный и госпошлина</t>
  </si>
  <si>
    <t>загр окр среды</t>
  </si>
  <si>
    <t>Таблица 4</t>
  </si>
  <si>
    <t xml:space="preserve">                                                                                                                                                                                                              (последнюю отчетную дату)</t>
  </si>
  <si>
    <t>в том числе: 
амортизация недвижимого имущества</t>
  </si>
  <si>
    <t>остаточная стоимость</t>
  </si>
  <si>
    <t>в том числе: 
амортизация особо ценного движимого имущества</t>
  </si>
  <si>
    <t>иное движимое имущество, всего</t>
  </si>
  <si>
    <t>в том числе: 
амортизация иного движимого имущества</t>
  </si>
  <si>
    <t>в том числе:
остаточная стоимость</t>
  </si>
  <si>
    <t>нематериальные активы</t>
  </si>
  <si>
    <t xml:space="preserve"> из них: расчеты по платежам в бюджеты</t>
  </si>
  <si>
    <t>в том числе: 
по выданным авансам на услуги связи</t>
  </si>
  <si>
    <t xml:space="preserve">из них: долговые обязательства                               </t>
  </si>
  <si>
    <t xml:space="preserve">расчеты по доходам                           </t>
  </si>
  <si>
    <r>
      <t xml:space="preserve">Финансовое состояние муниципального учреждения на </t>
    </r>
    <r>
      <rPr>
        <b/>
        <u val="single"/>
        <sz val="13"/>
        <color indexed="8"/>
        <rFont val="Calibri"/>
        <family val="2"/>
      </rPr>
      <t>01 января 2019 года</t>
    </r>
  </si>
  <si>
    <t>финансово-хозяйственной деятельности на 2019 год</t>
  </si>
  <si>
    <t xml:space="preserve">                                                     по РУБН/НУБН
</t>
  </si>
  <si>
    <t>по ОКВ</t>
  </si>
  <si>
    <t xml:space="preserve">                                                           
Код по бюджетной классификации Российской Федерации
</t>
  </si>
  <si>
    <t xml:space="preserve">субсидия на финансовое обеспечение выполнения государственного (муниципального) задания
</t>
  </si>
  <si>
    <t>Социальные и иные выплаты населению, всего</t>
  </si>
  <si>
    <t>прочие расходы</t>
  </si>
  <si>
    <t>на закупку товаров,работ, услуг по году начала закупки</t>
  </si>
  <si>
    <t>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</si>
  <si>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010</t>
  </si>
  <si>
    <t>020</t>
  </si>
  <si>
    <t>030</t>
  </si>
  <si>
    <t>040</t>
  </si>
  <si>
    <t xml:space="preserve">&lt;3&gt;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Плана, либо указываются фактические остатки указанных средств при внесении изменений в План после завершения отчетного финансового года
</t>
  </si>
  <si>
    <t>07 1 02 2Н0202</t>
  </si>
  <si>
    <t>07 1 01 005901</t>
  </si>
  <si>
    <t>07 1 01 006101</t>
  </si>
  <si>
    <t>08 3 02 010701</t>
  </si>
  <si>
    <t>08 3 01 234601</t>
  </si>
  <si>
    <t>08 3 02 234701</t>
  </si>
  <si>
    <t>08 3 04 234901</t>
  </si>
  <si>
    <t>07 2 02 2Н0202</t>
  </si>
  <si>
    <t>07 2 01 005901</t>
  </si>
  <si>
    <t>07 2 02 SН0401</t>
  </si>
  <si>
    <t>07 2 02 SН0402</t>
  </si>
  <si>
    <t>07 4 02 006301</t>
  </si>
  <si>
    <t>ФОТ, ФМО Бюджет Пермского края, ст.23, дети инвалиды, компенсация</t>
  </si>
  <si>
    <t xml:space="preserve">Компенсация части родительской платы за присмотр и уход за ребенком в образовательных организациях, реализующих образовательную </t>
  </si>
  <si>
    <t>Мероприятия по поддержке одаренных детей города Перми</t>
  </si>
  <si>
    <t xml:space="preserve"> Целевая субсидия на содержание МАДОУ «Детский сад № 409» г. Перми</t>
  </si>
  <si>
    <t xml:space="preserve"> Модернизация региональных систем дошкольного образования</t>
  </si>
  <si>
    <t>уменьшение стоимости материальных запасов</t>
  </si>
  <si>
    <t>на 2019 очередной финан-совый год</t>
  </si>
  <si>
    <t>на 2021 г., 2-ой год планового периода</t>
  </si>
  <si>
    <t>на 2019 очередной финансо-вый год</t>
  </si>
  <si>
    <t>на 2021</t>
  </si>
  <si>
    <t>Код  по  реестру  участников  бюджетного процесса, а также юридических лиц,</t>
  </si>
  <si>
    <t>Дата</t>
  </si>
  <si>
    <t>доходы от штрафов, пеней, иных сумм принудительного изъятия</t>
  </si>
  <si>
    <t xml:space="preserve"> и плановый период 2020 и 2021  годов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</si>
  <si>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</si>
  <si>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</si>
  <si>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</si>
  <si>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</si>
  <si>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</si>
  <si>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</si>
  <si>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</si>
  <si>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</si>
  <si>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</si>
  <si>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</si>
  <si>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</si>
  <si>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</si>
  <si>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>по выданным авансам по арендной плате за пользование имуществом</t>
  </si>
  <si>
    <t>2.3</t>
  </si>
  <si>
    <t>2.3.1</t>
  </si>
  <si>
    <t>2.3.2</t>
  </si>
  <si>
    <t xml:space="preserve">в том числе: кредиторская задолженность по расчетам с поставщиками и подрядчиками за счет средств бюджета города Перми, всего  </t>
  </si>
  <si>
    <t xml:space="preserve">по приобретению непроизведенных активов                   </t>
  </si>
  <si>
    <t>по платежам в бюджет города Перми</t>
  </si>
  <si>
    <t>кредиторская задолженность по расходам за счет бюджетных инвестиций</t>
  </si>
  <si>
    <t>2.3.3</t>
  </si>
  <si>
    <t>Просроченная кредиторская задолженность</t>
  </si>
  <si>
    <t>в том числе: просроченная кредиторская задолженность по расчетам с поставщиками и подрядчиками за счет средств бюджета, всего</t>
  </si>
  <si>
    <t>просроченная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</si>
  <si>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02 1 03 210901</t>
  </si>
  <si>
    <t>07 2 01 006901</t>
  </si>
  <si>
    <t>Целевая субсидия на организацию подвоза учащихся</t>
  </si>
  <si>
    <t>СОШ 71,82</t>
  </si>
  <si>
    <t xml:space="preserve">Перевозка детей </t>
  </si>
  <si>
    <t>07 2 01 007001</t>
  </si>
  <si>
    <t>07 2 01 008401</t>
  </si>
  <si>
    <t>Взносы на капитальный ремонт общего имущества в многоквартирных домах</t>
  </si>
  <si>
    <t>07 3 01 010001</t>
  </si>
  <si>
    <t>07 4 01 005901</t>
  </si>
  <si>
    <t>06 2 01 235701</t>
  </si>
  <si>
    <t>СОШ,УДО,ДОУ</t>
  </si>
  <si>
    <t>06 4 02 005901</t>
  </si>
  <si>
    <t>06  1 01 SС2401</t>
  </si>
  <si>
    <t>06  1 01 SС2402</t>
  </si>
  <si>
    <t>06 3 02 236001</t>
  </si>
  <si>
    <t>Проведение восстановительных программ с участием несовершеннолетних</t>
  </si>
  <si>
    <t>Мероприятия</t>
  </si>
  <si>
    <t>01 2 01 235301</t>
  </si>
  <si>
    <t>07 4 02 006401</t>
  </si>
  <si>
    <t>07 4 02 008201</t>
  </si>
  <si>
    <t>ДОУ,СОШ,УДО,Прочие</t>
  </si>
  <si>
    <t>07 2 02 2С1702</t>
  </si>
  <si>
    <t>07 3 01 820201</t>
  </si>
  <si>
    <t>07 2 01 011601</t>
  </si>
  <si>
    <t>07 2 01 007101</t>
  </si>
  <si>
    <t>05 1 03 005901</t>
  </si>
  <si>
    <t>07 4 03 2Н0202</t>
  </si>
  <si>
    <t>Директор</t>
  </si>
  <si>
    <t>О.Ю.Казанцева</t>
  </si>
  <si>
    <t>Наименование муниципального учреждения Муниципальное автономное общеобразовательное учреждение " Гимназия №1" г.Перми</t>
  </si>
  <si>
    <t>5905006199/590501001</t>
  </si>
  <si>
    <t>02089493</t>
  </si>
  <si>
    <t>614036 ,г. Пермь, ул. Космонавта Леонова, 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</si>
  <si>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</si>
  <si>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    1.2.1.Основные виды экономической деятельности</t>
  </si>
  <si>
    <t xml:space="preserve">ОКВЭД
</t>
  </si>
  <si>
    <t>Начальное общее образование</t>
  </si>
  <si>
    <t>85.12</t>
  </si>
  <si>
    <t xml:space="preserve">Основное общее образование
</t>
  </si>
  <si>
    <t>85.13</t>
  </si>
  <si>
    <t>Среднее (полное) общее образование</t>
  </si>
  <si>
    <t>85.14</t>
  </si>
  <si>
    <t>ОКВЭД</t>
  </si>
  <si>
    <t>Дополнительное образование детей</t>
  </si>
  <si>
    <t>85.41</t>
  </si>
  <si>
    <t>Обучение на подготовительных курсах для поступления в учебные заведения высшего профессионального образования</t>
  </si>
  <si>
    <t>85.41.9</t>
  </si>
  <si>
    <t>Образование для взрослых и прочие виды образования</t>
  </si>
  <si>
    <t>85.4</t>
  </si>
  <si>
    <t>Деятельность столовых при предприятиях и учреждениях</t>
  </si>
  <si>
    <t>56.29</t>
  </si>
  <si>
    <t xml:space="preserve">    1.2.2.Дополнительные виды экономической деятельности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</si>
  <si>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</si>
  <si>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</si>
  <si>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</si>
  <si>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</si>
  <si>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не являющихся участниками бюджетного процесса: 57308709____________________________________________</t>
  </si>
  <si>
    <t>07201005901</t>
  </si>
  <si>
    <t xml:space="preserve">Реализация дополнительных общеразвивающих программ
</t>
  </si>
  <si>
    <t>07201007101</t>
  </si>
  <si>
    <t>на 01 января                    2020 г.</t>
  </si>
  <si>
    <t>на 01 января                    2021 г.</t>
  </si>
  <si>
    <t>000000000</t>
  </si>
  <si>
    <t>800000000</t>
  </si>
  <si>
    <t>072022Н0201</t>
  </si>
  <si>
    <t>07101005900</t>
  </si>
  <si>
    <t>071022Н0200</t>
  </si>
  <si>
    <t>072022Н0200</t>
  </si>
  <si>
    <t>07201005900</t>
  </si>
  <si>
    <t>07201007100</t>
  </si>
  <si>
    <t>08302010700</t>
  </si>
  <si>
    <t>00000000001</t>
  </si>
  <si>
    <t>072022Н0203</t>
  </si>
  <si>
    <t>07201005903</t>
  </si>
  <si>
    <t>00000000003</t>
  </si>
  <si>
    <t>08 3 02 010700</t>
  </si>
  <si>
    <t>071022Н0203</t>
  </si>
  <si>
    <t>1.5. Общая балансовая стоимость движимого муниципального имущества на дату составления Плана, всего: 20966026,81руб.</t>
  </si>
  <si>
    <t>1.4. Общая балансовая стоимость недвижимого муниципального имущества на дату составления Плана, всего: 18373892,65 руб</t>
  </si>
  <si>
    <t>И.А.Галанова</t>
  </si>
  <si>
    <t>телефон (342) 226-17-10</t>
  </si>
  <si>
    <t>074032Н0202</t>
  </si>
  <si>
    <t>Расчеты (обоснования) к плану финансово-хозяйственной деятельности на 2019 год и плановый период 2020 и 2021 гг.</t>
  </si>
  <si>
    <t>1.Расчеты (обоснования) выплат персоналу (строка 210) &lt;2&gt;</t>
  </si>
  <si>
    <t>Код видов расходов 111, 112, 119</t>
  </si>
  <si>
    <t>Источник финансового обеспечения</t>
  </si>
  <si>
    <t xml:space="preserve">Субсидии на выполнение государственного (муниципального) задания </t>
  </si>
  <si>
    <t>1.1. Расчеты (обоснования) расходов на оплату труда</t>
  </si>
  <si>
    <t>N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</si>
  <si>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</si>
  <si>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</si>
  <si>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</si>
  <si>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</si>
  <si>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</si>
  <si>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</si>
  <si>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Источник финансирования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</si>
  <si>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</si>
  <si>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</si>
  <si>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</si>
  <si>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</si>
  <si>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</si>
  <si>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</si>
  <si>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</si>
  <si>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</si>
  <si>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</si>
  <si>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</si>
  <si>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</si>
  <si>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</si>
  <si>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 xml:space="preserve">1.2. Расчеты (обоснования) выплат персоналу при направлении в служебные командировки 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</si>
  <si>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</si>
  <si>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</si>
  <si>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</si>
  <si>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</si>
  <si>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в год, руб. (гр. 3 х гр. 4 х гр. 5)</t>
  </si>
  <si>
    <t>Итого:</t>
  </si>
  <si>
    <t xml:space="preserve">1.3.  Расчеты (обоснования)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</si>
  <si>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</si>
  <si>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</si>
  <si>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</si>
  <si>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</si>
  <si>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</si>
  <si>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</si>
  <si>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>Сумма  в год, руб.</t>
  </si>
  <si>
    <t xml:space="preserve">Сумма взноса, руб
</t>
  </si>
  <si>
    <t>Страховые взносы в Пенсионный фонд Российской Федерации, всего</t>
  </si>
  <si>
    <t>1.1</t>
  </si>
  <si>
    <t>в том числе:
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</si>
  <si>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</si>
  <si>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</si>
  <si>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</si>
  <si>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</si>
  <si>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</si>
  <si>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</si>
  <si>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2.1.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</si>
  <si>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</si>
  <si>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</si>
  <si>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</si>
  <si>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</si>
  <si>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</si>
  <si>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</si>
  <si>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</si>
  <si>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2.5.</t>
  </si>
  <si>
    <t>3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</si>
  <si>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</si>
  <si>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</si>
  <si>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2. Расчет (обоснование) расходов на социальные и иные выплаты населению (строка 220) &lt;5&gt;</t>
  </si>
  <si>
    <t>Код видов расходов 321-350</t>
  </si>
  <si>
    <t>Субсидии на выполнение государственного (муниципального) задания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</si>
  <si>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</si>
  <si>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</si>
  <si>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</si>
  <si>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</si>
  <si>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</si>
  <si>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>3. Расчет (обоснование) расходов на уплату налогов, сборов и иных платежей (строка 230) &lt;6&gt;</t>
  </si>
  <si>
    <t>Код видов расходов 851-853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</si>
  <si>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</si>
  <si>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</si>
  <si>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</si>
  <si>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</si>
  <si>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</si>
  <si>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Налог на имущество</t>
  </si>
  <si>
    <t>Плата за негативное воздействие на окружающую среду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</si>
  <si>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</si>
  <si>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</si>
  <si>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 xml:space="preserve">
</t>
  </si>
  <si>
    <t>Код видов расходов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</si>
  <si>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</si>
  <si>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</si>
  <si>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</si>
  <si>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</si>
  <si>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Код видов расходов 244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</si>
  <si>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</si>
  <si>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</si>
  <si>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</si>
  <si>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</si>
  <si>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</si>
  <si>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Абонентская плата за стационарный номер</t>
  </si>
  <si>
    <t xml:space="preserve">Предоставление доступа в Интернет   </t>
  </si>
  <si>
    <t xml:space="preserve"> Итого: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</si>
  <si>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</si>
  <si>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</si>
  <si>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Количество 
услуг 
перевозки</t>
  </si>
  <si>
    <t>Цена услуги перевозки, 
руб.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</si>
  <si>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</si>
  <si>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</si>
  <si>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</si>
  <si>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Размер потребления ресурсов</t>
  </si>
  <si>
    <t>Тариф 
(с учетом НДС), руб.</t>
  </si>
  <si>
    <t>Индексация, 
%</t>
  </si>
  <si>
    <t>Теплоэнергия</t>
  </si>
  <si>
    <t>Электроэнергия</t>
  </si>
  <si>
    <t>Водоснабжение и водоотведение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</si>
  <si>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</si>
  <si>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</si>
  <si>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Количество</t>
  </si>
  <si>
    <t>Ставка 
арендной 
платы</t>
  </si>
  <si>
    <t>Стоимость 
с учетом НДС, 
руб.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</si>
  <si>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</si>
  <si>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</si>
  <si>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Объект</t>
  </si>
  <si>
    <t>Количество 
работ 
(услуг)</t>
  </si>
  <si>
    <t>Стоимость 
работ (услуг), 
руб.</t>
  </si>
  <si>
    <t>Вывоз мусора</t>
  </si>
  <si>
    <t>Гимназия №1</t>
  </si>
  <si>
    <t>Дезинсекция</t>
  </si>
  <si>
    <t>Противопожарная защита</t>
  </si>
  <si>
    <t>Клиниг(уборщ.)</t>
  </si>
  <si>
    <t>Клиниг(дворн,видеонабл)</t>
  </si>
  <si>
    <t>Очистка крыш</t>
  </si>
  <si>
    <t>Мытье окон</t>
  </si>
  <si>
    <t>Трев.кнопка</t>
  </si>
  <si>
    <t>Опрессовка</t>
  </si>
  <si>
    <t>Аварийные раб.,текущ.рем.</t>
  </si>
  <si>
    <t>Виз.и инстр.обслед.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</si>
  <si>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</si>
  <si>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</si>
  <si>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Количество договоров</t>
  </si>
  <si>
    <t>Стоимость 
услуги, руб.</t>
  </si>
  <si>
    <t>Обслуживание баз данных,лицензионные права</t>
  </si>
  <si>
    <t>Обучение персонала,проф.пробы</t>
  </si>
  <si>
    <t>Подписка</t>
  </si>
  <si>
    <t>Охрана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</si>
  <si>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</si>
  <si>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6.7.  Расчет (обоснование) расходов на приобретение основных средств &lt;15&gt;</t>
  </si>
  <si>
    <t>Средняя стоимость, руб.</t>
  </si>
  <si>
    <t>Стоимость работ (услуг), руб. (гр. 3 х гр. 4)</t>
  </si>
  <si>
    <t>Учебники</t>
  </si>
  <si>
    <t>Оборудование</t>
  </si>
  <si>
    <t>Мебель</t>
  </si>
  <si>
    <t>6.8.  Расчет (обоснование) расходов на приобретение материальных запасов &lt;15&gt;</t>
  </si>
  <si>
    <t>Зап.части к оборудованию</t>
  </si>
  <si>
    <t>Хоз.товары</t>
  </si>
  <si>
    <t>Строительные материалы</t>
  </si>
  <si>
    <t>Канцтовары</t>
  </si>
  <si>
    <t>Медикаменты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</si>
  <si>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</si>
  <si>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6.9.  Расчет (обоснование) расходов на прочие расходы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</si>
  <si>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</si>
  <si>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</si>
  <si>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</si>
  <si>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</si>
  <si>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</si>
  <si>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Руководитель учреждения</t>
  </si>
  <si>
    <t>_____________________</t>
  </si>
  <si>
    <t>(О.Ю.Казанцева)</t>
  </si>
  <si>
    <t>(И.А.Галанова)</t>
  </si>
  <si>
    <t>Субсидии на иные цели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</si>
  <si>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</si>
  <si>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</si>
  <si>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</si>
  <si>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</si>
  <si>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</si>
  <si>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</si>
  <si>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</si>
  <si>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>7</t>
  </si>
  <si>
    <t>8</t>
  </si>
  <si>
    <t>9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</si>
  <si>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</si>
  <si>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</si>
  <si>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Приносящая доход деятельность (собственные доходы учреждения)</t>
  </si>
  <si>
    <t>Внебюджетные  источники</t>
  </si>
  <si>
    <t>Сумма в год, руб.        (гр. 3 х гр. 4 х гр. 5)</t>
  </si>
  <si>
    <t>Внебюджетные источники</t>
  </si>
  <si>
    <t>Внебюджетные источники, руб. 
(гр. 3 x гр. 4)</t>
  </si>
  <si>
    <t>Код видов расходов 831-853</t>
  </si>
  <si>
    <t xml:space="preserve">Сумма исчисленного налога, подлежащего уплате, руб.                                      (гр. 3 x гр. 4 / 100)                             
</t>
  </si>
  <si>
    <t>Внебюджетные источники, руб.</t>
  </si>
  <si>
    <t>Штрафы, пени</t>
  </si>
  <si>
    <t>Членский взнос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</si>
  <si>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</si>
  <si>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</si>
  <si>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</si>
  <si>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</si>
  <si>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>Сумма  в год                             (гр. 3 x гр. 4 x гр. 5), руб.</t>
  </si>
  <si>
    <t xml:space="preserve">Внебюджетные источники          
</t>
  </si>
  <si>
    <t>Сумма  в год                                  (гр. 3 x гр. 4), руб.</t>
  </si>
  <si>
    <t xml:space="preserve">Внебюджетные источники </t>
  </si>
  <si>
    <t>Транспортные расходы</t>
  </si>
  <si>
    <t>Внебюджетные источники, стоимость
с учетом НДС, 
руб.</t>
  </si>
  <si>
    <t>Стоимость работ (услуг) в год, руб.</t>
  </si>
  <si>
    <t xml:space="preserve">Внебюджетные источники                </t>
  </si>
  <si>
    <t>Обслуживание кас.аппарата</t>
  </si>
  <si>
    <t>Стоимость услуги  в год, руб.</t>
  </si>
  <si>
    <t xml:space="preserve">Внебюджетные источники           </t>
  </si>
  <si>
    <t>Банковское обслуживание</t>
  </si>
  <si>
    <t>Медосмотры</t>
  </si>
  <si>
    <t>Проведение мероприятий</t>
  </si>
  <si>
    <t>Оплата договоров</t>
  </si>
  <si>
    <t>Стоимость работ (услуг)  в год ( гр. 3 х гр. 4), руб.</t>
  </si>
  <si>
    <t xml:space="preserve">Внебюджетные источники                                        </t>
  </si>
  <si>
    <t xml:space="preserve">Внебюджетные источники                 </t>
  </si>
  <si>
    <t>3-дня больничных</t>
  </si>
  <si>
    <t>3- дня больничных</t>
  </si>
  <si>
    <t>Монтаж и наладка</t>
  </si>
  <si>
    <t>монтаж и наладка</t>
  </si>
  <si>
    <t>работы, услуги  для целей кап.вложений</t>
  </si>
  <si>
    <t>Строй материалы</t>
  </si>
  <si>
    <t>Зап,части</t>
  </si>
  <si>
    <t>-</t>
  </si>
  <si>
    <t>901480000</t>
  </si>
  <si>
    <t>901160000</t>
  </si>
  <si>
    <t>901830000</t>
  </si>
  <si>
    <t>901150000</t>
  </si>
  <si>
    <t>Выходное пособие</t>
  </si>
  <si>
    <t>Пенсии, пособия, выплачиваемые работодателями, нанимателями бывшим работникам в денежной форме</t>
  </si>
  <si>
    <t>Пособие на период трудоустройства</t>
  </si>
  <si>
    <t>Призы, подарки</t>
  </si>
  <si>
    <t>«24» апреля      2019г.</t>
  </si>
  <si>
    <t>на 24 апреля 2019 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</si>
</sst>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р_."/>
    <numFmt numFmtId="178" formatCode="0.0"/>
    <numFmt numFmtId="179" formatCode="?"/>
    <numFmt numFmtId="180" formatCode="[$-419]General"/>
    <numFmt numFmtId="181" formatCode="_(* #,##0.00_);_(* \(#,##0.00\);_(* &quot;-&quot;??_);_(@_)"/>
    <numFmt numFmtId="182" formatCode="_-* #,##0.00_р_._-;\-* #,##0.00_р_._-;_-* \-??_р_._-;_-@_-"/>
    <numFmt numFmtId="183" formatCode="_-* #,##0.00\ _D_M_-;\-* #,##0.00\ _D_M_-;_-* &quot;-&quot;??\ _D_M_-;_-@_-"/>
    <numFmt numFmtId="184" formatCode="#,##0.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0000_р_._-;\-* #,##0.000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[$-FC19]d\ mmmm\ yyyy\ &quot;г.&quot;"/>
    <numFmt numFmtId="193" formatCode="dd/mm/yy;@"/>
    <numFmt numFmtId="194" formatCode="[$-419]dd\ mmm\ yy;@"/>
    <numFmt numFmtId="195" formatCode="#,##0_ ;\-#,##0\ 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3.75"/>
      <color indexed="12"/>
      <name val="Calibri"/>
      <family val="2"/>
    </font>
    <font>
      <u val="single"/>
      <sz val="13.75"/>
      <color indexed="20"/>
      <name val="Calibri"/>
      <family val="2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6"/>
      <color theme="1"/>
      <name val="Times New Roman"/>
      <family val="1"/>
    </font>
  </fonts>
  <fills count="10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9" borderId="0" applyNumberFormat="0" applyBorder="0" applyAlignment="0" applyProtection="0"/>
    <xf numFmtId="0" fontId="4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3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9" borderId="0" applyNumberFormat="0" applyBorder="0" applyAlignment="0" applyProtection="0"/>
    <xf numFmtId="0" fontId="4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23" fillId="40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44" fillId="46" borderId="0" applyNumberFormat="0" applyBorder="0" applyAlignment="0" applyProtection="0"/>
    <xf numFmtId="0" fontId="45" fillId="62" borderId="1" applyNumberFormat="0" applyAlignment="0" applyProtection="0"/>
    <xf numFmtId="0" fontId="31" fillId="48" borderId="2" applyNumberFormat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180" fontId="1" fillId="0" borderId="0" applyBorder="0" applyProtection="0">
      <alignment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38" fillId="6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59" borderId="1" applyNumberFormat="0" applyAlignment="0" applyProtection="0"/>
    <xf numFmtId="0" fontId="51" fillId="0" borderId="6" applyNumberFormat="0" applyFill="0" applyAlignment="0" applyProtection="0"/>
    <xf numFmtId="0" fontId="33" fillId="59" borderId="0" applyNumberFormat="0" applyBorder="0" applyAlignment="0" applyProtection="0"/>
    <xf numFmtId="0" fontId="22" fillId="0" borderId="0">
      <alignment/>
      <protection/>
    </xf>
    <xf numFmtId="0" fontId="22" fillId="58" borderId="7" applyNumberFormat="0" applyFont="0" applyAlignment="0" applyProtection="0"/>
    <xf numFmtId="0" fontId="25" fillId="62" borderId="8" applyNumberFormat="0" applyAlignment="0" applyProtection="0"/>
    <xf numFmtId="4" fontId="52" fillId="69" borderId="9" applyNumberFormat="0" applyProtection="0">
      <alignment vertical="center"/>
    </xf>
    <xf numFmtId="4" fontId="53" fillId="69" borderId="10" applyNumberFormat="0" applyProtection="0">
      <alignment vertical="center"/>
    </xf>
    <xf numFmtId="4" fontId="54" fillId="69" borderId="9" applyNumberFormat="0" applyProtection="0">
      <alignment vertical="center"/>
    </xf>
    <xf numFmtId="4" fontId="55" fillId="69" borderId="10" applyNumberFormat="0" applyProtection="0">
      <alignment vertical="center"/>
    </xf>
    <xf numFmtId="4" fontId="52" fillId="69" borderId="9" applyNumberFormat="0" applyProtection="0">
      <alignment horizontal="left" vertical="center" indent="1"/>
    </xf>
    <xf numFmtId="4" fontId="53" fillId="69" borderId="10" applyNumberFormat="0" applyProtection="0">
      <alignment horizontal="left" vertical="center" indent="1"/>
    </xf>
    <xf numFmtId="0" fontId="52" fillId="69" borderId="9" applyNumberFormat="0" applyProtection="0">
      <alignment horizontal="left" vertical="top" indent="1"/>
    </xf>
    <xf numFmtId="0" fontId="56" fillId="69" borderId="9" applyNumberFormat="0" applyProtection="0">
      <alignment horizontal="left" vertical="top" indent="1"/>
    </xf>
    <xf numFmtId="4" fontId="52" fillId="2" borderId="0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4" fontId="42" fillId="7" borderId="9" applyNumberFormat="0" applyProtection="0">
      <alignment horizontal="right" vertical="center"/>
    </xf>
    <xf numFmtId="4" fontId="53" fillId="7" borderId="10" applyNumberFormat="0" applyProtection="0">
      <alignment horizontal="right" vertical="center"/>
    </xf>
    <xf numFmtId="4" fontId="42" fillId="3" borderId="9" applyNumberFormat="0" applyProtection="0">
      <alignment horizontal="right" vertical="center"/>
    </xf>
    <xf numFmtId="4" fontId="53" fillId="70" borderId="10" applyNumberFormat="0" applyProtection="0">
      <alignment horizontal="right" vertical="center"/>
    </xf>
    <xf numFmtId="4" fontId="42" fillId="71" borderId="9" applyNumberFormat="0" applyProtection="0">
      <alignment horizontal="right" vertical="center"/>
    </xf>
    <xf numFmtId="4" fontId="53" fillId="71" borderId="11" applyNumberFormat="0" applyProtection="0">
      <alignment horizontal="right" vertical="center"/>
    </xf>
    <xf numFmtId="4" fontId="42" fillId="26" borderId="9" applyNumberFormat="0" applyProtection="0">
      <alignment horizontal="right" vertical="center"/>
    </xf>
    <xf numFmtId="4" fontId="53" fillId="26" borderId="10" applyNumberFormat="0" applyProtection="0">
      <alignment horizontal="right" vertical="center"/>
    </xf>
    <xf numFmtId="4" fontId="42" fillId="34" borderId="9" applyNumberFormat="0" applyProtection="0">
      <alignment horizontal="right" vertical="center"/>
    </xf>
    <xf numFmtId="4" fontId="53" fillId="34" borderId="10" applyNumberFormat="0" applyProtection="0">
      <alignment horizontal="right" vertical="center"/>
    </xf>
    <xf numFmtId="4" fontId="42" fillId="72" borderId="9" applyNumberFormat="0" applyProtection="0">
      <alignment horizontal="right" vertical="center"/>
    </xf>
    <xf numFmtId="4" fontId="53" fillId="72" borderId="10" applyNumberFormat="0" applyProtection="0">
      <alignment horizontal="right" vertical="center"/>
    </xf>
    <xf numFmtId="4" fontId="42" fillId="20" borderId="9" applyNumberFormat="0" applyProtection="0">
      <alignment horizontal="right" vertical="center"/>
    </xf>
    <xf numFmtId="4" fontId="53" fillId="20" borderId="10" applyNumberFormat="0" applyProtection="0">
      <alignment horizontal="right" vertical="center"/>
    </xf>
    <xf numFmtId="4" fontId="42" fillId="73" borderId="9" applyNumberFormat="0" applyProtection="0">
      <alignment horizontal="right" vertical="center"/>
    </xf>
    <xf numFmtId="4" fontId="53" fillId="73" borderId="10" applyNumberFormat="0" applyProtection="0">
      <alignment horizontal="right" vertical="center"/>
    </xf>
    <xf numFmtId="4" fontId="42" fillId="24" borderId="9" applyNumberFormat="0" applyProtection="0">
      <alignment horizontal="right" vertical="center"/>
    </xf>
    <xf numFmtId="4" fontId="53" fillId="24" borderId="10" applyNumberFormat="0" applyProtection="0">
      <alignment horizontal="right" vertical="center"/>
    </xf>
    <xf numFmtId="4" fontId="52" fillId="74" borderId="12" applyNumberFormat="0" applyProtection="0">
      <alignment horizontal="left" vertical="center" indent="1"/>
    </xf>
    <xf numFmtId="4" fontId="53" fillId="74" borderId="11" applyNumberFormat="0" applyProtection="0">
      <alignment horizontal="left" vertical="center" indent="1"/>
    </xf>
    <xf numFmtId="4" fontId="42" fillId="75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57" fillId="19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42" fillId="2" borderId="9" applyNumberFormat="0" applyProtection="0">
      <alignment horizontal="right" vertical="center"/>
    </xf>
    <xf numFmtId="4" fontId="53" fillId="2" borderId="10" applyNumberFormat="0" applyProtection="0">
      <alignment horizontal="right" vertical="center"/>
    </xf>
    <xf numFmtId="4" fontId="42" fillId="75" borderId="0" applyNumberFormat="0" applyProtection="0">
      <alignment horizontal="left" vertical="center" indent="1"/>
    </xf>
    <xf numFmtId="4" fontId="53" fillId="75" borderId="11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53" fillId="2" borderId="11" applyNumberFormat="0" applyProtection="0">
      <alignment horizontal="left" vertical="center" indent="1"/>
    </xf>
    <xf numFmtId="0" fontId="22" fillId="19" borderId="9" applyNumberFormat="0" applyProtection="0">
      <alignment horizontal="left" vertical="center" indent="1"/>
    </xf>
    <xf numFmtId="0" fontId="53" fillId="21" borderId="10" applyNumberFormat="0" applyProtection="0">
      <alignment horizontal="left" vertical="center" indent="1"/>
    </xf>
    <xf numFmtId="0" fontId="22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22" fillId="2" borderId="9" applyNumberFormat="0" applyProtection="0">
      <alignment horizontal="left" vertical="center" indent="1"/>
    </xf>
    <xf numFmtId="0" fontId="53" fillId="76" borderId="10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22" fillId="6" borderId="9" applyNumberFormat="0" applyProtection="0">
      <alignment horizontal="left" vertical="center" indent="1"/>
    </xf>
    <xf numFmtId="0" fontId="53" fillId="6" borderId="10" applyNumberFormat="0" applyProtection="0">
      <alignment horizontal="left" vertical="center" indent="1"/>
    </xf>
    <xf numFmtId="0" fontId="22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22" fillId="75" borderId="9" applyNumberFormat="0" applyProtection="0">
      <alignment horizontal="left" vertical="center" indent="1"/>
    </xf>
    <xf numFmtId="0" fontId="53" fillId="75" borderId="10" applyNumberFormat="0" applyProtection="0">
      <alignment horizontal="left" vertical="center" indent="1"/>
    </xf>
    <xf numFmtId="0" fontId="22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22" fillId="5" borderId="13" applyNumberFormat="0">
      <alignment/>
      <protection locked="0"/>
    </xf>
    <xf numFmtId="0" fontId="53" fillId="5" borderId="14" applyNumberFormat="0">
      <alignment/>
      <protection locked="0"/>
    </xf>
    <xf numFmtId="0" fontId="53" fillId="5" borderId="14" applyNumberFormat="0">
      <alignment/>
      <protection locked="0"/>
    </xf>
    <xf numFmtId="0" fontId="58" fillId="19" borderId="15" applyBorder="0">
      <alignment/>
      <protection/>
    </xf>
    <xf numFmtId="4" fontId="42" fillId="4" borderId="9" applyNumberFormat="0" applyProtection="0">
      <alignment vertical="center"/>
    </xf>
    <xf numFmtId="4" fontId="59" fillId="4" borderId="9" applyNumberFormat="0" applyProtection="0">
      <alignment vertical="center"/>
    </xf>
    <xf numFmtId="4" fontId="60" fillId="4" borderId="9" applyNumberFormat="0" applyProtection="0">
      <alignment vertical="center"/>
    </xf>
    <xf numFmtId="4" fontId="55" fillId="4" borderId="13" applyNumberFormat="0" applyProtection="0">
      <alignment vertical="center"/>
    </xf>
    <xf numFmtId="4" fontId="42" fillId="4" borderId="9" applyNumberFormat="0" applyProtection="0">
      <alignment horizontal="left" vertical="center" indent="1"/>
    </xf>
    <xf numFmtId="4" fontId="59" fillId="21" borderId="9" applyNumberFormat="0" applyProtection="0">
      <alignment horizontal="left" vertical="center" indent="1"/>
    </xf>
    <xf numFmtId="0" fontId="42" fillId="4" borderId="9" applyNumberFormat="0" applyProtection="0">
      <alignment horizontal="left" vertical="top" indent="1"/>
    </xf>
    <xf numFmtId="0" fontId="59" fillId="4" borderId="9" applyNumberFormat="0" applyProtection="0">
      <alignment horizontal="left" vertical="top" indent="1"/>
    </xf>
    <xf numFmtId="4" fontId="42" fillId="75" borderId="9" applyNumberFormat="0" applyProtection="0">
      <alignment horizontal="right" vertical="center"/>
    </xf>
    <xf numFmtId="0" fontId="42" fillId="16" borderId="9" applyNumberFormat="0" applyProtection="0">
      <alignment horizontal="right" vertical="center"/>
    </xf>
    <xf numFmtId="4" fontId="53" fillId="0" borderId="10" applyNumberFormat="0" applyProtection="0">
      <alignment horizontal="right" vertical="center"/>
    </xf>
    <xf numFmtId="4" fontId="60" fillId="75" borderId="9" applyNumberFormat="0" applyProtection="0">
      <alignment horizontal="right" vertical="center"/>
    </xf>
    <xf numFmtId="4" fontId="55" fillId="5" borderId="10" applyNumberFormat="0" applyProtection="0">
      <alignment horizontal="right" vertical="center"/>
    </xf>
    <xf numFmtId="4" fontId="53" fillId="32" borderId="10" applyNumberFormat="0" applyProtection="0">
      <alignment horizontal="left" vertical="center" indent="1"/>
    </xf>
    <xf numFmtId="4" fontId="42" fillId="2" borderId="9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0" fontId="22" fillId="0" borderId="0">
      <alignment/>
      <protection/>
    </xf>
    <xf numFmtId="0" fontId="42" fillId="2" borderId="9" applyNumberFormat="0" applyProtection="0">
      <alignment horizontal="left" vertical="top" indent="1"/>
    </xf>
    <xf numFmtId="0" fontId="59" fillId="2" borderId="9" applyNumberFormat="0" applyProtection="0">
      <alignment horizontal="left" vertical="top" indent="1"/>
    </xf>
    <xf numFmtId="4" fontId="61" fillId="77" borderId="0" applyNumberFormat="0" applyProtection="0">
      <alignment horizontal="left" vertical="center" indent="1"/>
    </xf>
    <xf numFmtId="4" fontId="62" fillId="77" borderId="11" applyNumberFormat="0" applyProtection="0">
      <alignment horizontal="left" vertical="center" indent="1"/>
    </xf>
    <xf numFmtId="0" fontId="53" fillId="78" borderId="13">
      <alignment/>
      <protection/>
    </xf>
    <xf numFmtId="4" fontId="63" fillId="75" borderId="9" applyNumberFormat="0" applyProtection="0">
      <alignment horizontal="right" vertical="center"/>
    </xf>
    <xf numFmtId="4" fontId="64" fillId="5" borderId="10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82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82" fillId="82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82" fillId="84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2" fillId="8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82" fillId="87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82" fillId="88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83" fillId="90" borderId="17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84" fillId="91" borderId="1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85" fillId="91" borderId="17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8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7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88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89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91" fillId="93" borderId="26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9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3" fillId="96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3" fillId="98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4" fillId="0" borderId="0" applyNumberFormat="0" applyFill="0" applyBorder="0" applyAlignment="0" applyProtection="0"/>
    <xf numFmtId="0" fontId="95" fillId="9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100" borderId="27" applyNumberFormat="0" applyFont="0" applyAlignment="0" applyProtection="0"/>
    <xf numFmtId="0" fontId="1" fillId="4" borderId="7" applyNumberFormat="0" applyFont="0" applyAlignment="0" applyProtection="0"/>
    <xf numFmtId="0" fontId="8" fillId="101" borderId="7" applyNumberFormat="0" applyAlignment="0" applyProtection="0"/>
    <xf numFmtId="0" fontId="8" fillId="4" borderId="7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66" fillId="0" borderId="0">
      <alignment/>
      <protection/>
    </xf>
    <xf numFmtId="0" fontId="9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81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8" fillId="0" borderId="0" applyFill="0" applyBorder="0" applyAlignment="0" applyProtection="0"/>
    <xf numFmtId="171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9" fillId="102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</cellStyleXfs>
  <cellXfs count="613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30" xfId="0" applyNumberFormat="1" applyFont="1" applyBorder="1" applyAlignment="1">
      <alignment horizontal="center" vertical="center" wrapText="1"/>
    </xf>
    <xf numFmtId="0" fontId="100" fillId="0" borderId="13" xfId="0" applyFont="1" applyBorder="1" applyAlignment="1">
      <alignment vertical="top" wrapText="1"/>
    </xf>
    <xf numFmtId="0" fontId="100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00" fillId="0" borderId="0" xfId="0" applyFont="1" applyAlignment="1">
      <alignment/>
    </xf>
    <xf numFmtId="0" fontId="100" fillId="0" borderId="0" xfId="0" applyFont="1" applyAlignment="1">
      <alignment horizontal="right"/>
    </xf>
    <xf numFmtId="0" fontId="100" fillId="0" borderId="0" xfId="0" applyFont="1" applyAlignment="1">
      <alignment horizontal="center"/>
    </xf>
    <xf numFmtId="0" fontId="100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00" fillId="0" borderId="32" xfId="0" applyFont="1" applyBorder="1" applyAlignment="1">
      <alignment vertical="top" wrapText="1"/>
    </xf>
    <xf numFmtId="0" fontId="101" fillId="0" borderId="0" xfId="0" applyFont="1" applyAlignment="1">
      <alignment/>
    </xf>
    <xf numFmtId="0" fontId="10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" fontId="6" fillId="103" borderId="0" xfId="0" applyNumberFormat="1" applyFont="1" applyFill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0" fontId="100" fillId="0" borderId="33" xfId="0" applyFont="1" applyBorder="1" applyAlignment="1">
      <alignment/>
    </xf>
    <xf numFmtId="0" fontId="0" fillId="0" borderId="33" xfId="0" applyBorder="1" applyAlignment="1">
      <alignment/>
    </xf>
    <xf numFmtId="2" fontId="100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100" fillId="0" borderId="0" xfId="0" applyFont="1" applyFill="1" applyAlignment="1">
      <alignment horizontal="center"/>
    </xf>
    <xf numFmtId="0" fontId="100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0" fontId="90" fillId="0" borderId="13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0" fillId="0" borderId="13" xfId="0" applyFont="1" applyBorder="1" applyAlignment="1">
      <alignment horizontal="center"/>
    </xf>
    <xf numFmtId="0" fontId="9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03" fillId="0" borderId="0" xfId="0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04" fillId="0" borderId="0" xfId="0" applyFont="1" applyFill="1" applyBorder="1" applyAlignment="1">
      <alignment vertical="center" wrapText="1"/>
    </xf>
    <xf numFmtId="0" fontId="104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71" fontId="2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1" fontId="41" fillId="0" borderId="34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100" fillId="0" borderId="13" xfId="0" applyNumberFormat="1" applyFont="1" applyBorder="1" applyAlignment="1">
      <alignment horizontal="center" vertical="top" wrapText="1"/>
    </xf>
    <xf numFmtId="0" fontId="3" fillId="104" borderId="0" xfId="0" applyFont="1" applyFill="1" applyAlignment="1">
      <alignment horizontal="center" vertical="top" wrapText="1"/>
    </xf>
    <xf numFmtId="0" fontId="0" fillId="104" borderId="0" xfId="0" applyFill="1" applyAlignment="1">
      <alignment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179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 vertical="top" wrapText="1"/>
    </xf>
    <xf numFmtId="49" fontId="106" fillId="0" borderId="34" xfId="0" applyNumberFormat="1" applyFont="1" applyFill="1" applyBorder="1" applyAlignment="1">
      <alignment horizontal="center" vertical="center" wrapText="1"/>
    </xf>
    <xf numFmtId="3" fontId="18" fillId="105" borderId="35" xfId="0" applyNumberFormat="1" applyFont="1" applyFill="1" applyBorder="1" applyAlignment="1">
      <alignment horizontal="left" vertical="center" wrapText="1"/>
    </xf>
    <xf numFmtId="0" fontId="106" fillId="105" borderId="13" xfId="0" applyFont="1" applyFill="1" applyBorder="1" applyAlignment="1">
      <alignment horizontal="center" vertical="top" wrapText="1"/>
    </xf>
    <xf numFmtId="0" fontId="106" fillId="105" borderId="34" xfId="0" applyFont="1" applyFill="1" applyBorder="1" applyAlignment="1">
      <alignment horizontal="center" vertical="top" wrapText="1"/>
    </xf>
    <xf numFmtId="4" fontId="4" fillId="105" borderId="3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06" fillId="0" borderId="36" xfId="0" applyFont="1" applyBorder="1" applyAlignment="1">
      <alignment vertical="center" wrapText="1"/>
    </xf>
    <xf numFmtId="0" fontId="106" fillId="0" borderId="13" xfId="0" applyFont="1" applyBorder="1" applyAlignment="1">
      <alignment horizontal="center" vertical="top" wrapText="1"/>
    </xf>
    <xf numFmtId="0" fontId="106" fillId="0" borderId="34" xfId="0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06" fillId="0" borderId="36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horizontal="center" vertical="top" wrapText="1"/>
    </xf>
    <xf numFmtId="49" fontId="106" fillId="0" borderId="13" xfId="0" applyNumberFormat="1" applyFont="1" applyFill="1" applyBorder="1" applyAlignment="1">
      <alignment horizontal="center" vertical="top" wrapText="1"/>
    </xf>
    <xf numFmtId="49" fontId="106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06" fillId="0" borderId="34" xfId="0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106" fillId="0" borderId="36" xfId="0" applyFont="1" applyFill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106" fillId="0" borderId="36" xfId="0" applyFont="1" applyBorder="1" applyAlignment="1">
      <alignment horizontal="left" vertical="top" wrapText="1"/>
    </xf>
    <xf numFmtId="0" fontId="106" fillId="0" borderId="36" xfId="0" applyFont="1" applyFill="1" applyBorder="1" applyAlignment="1">
      <alignment horizontal="left" wrapText="1"/>
    </xf>
    <xf numFmtId="3" fontId="6" fillId="103" borderId="0" xfId="0" applyNumberFormat="1" applyFont="1" applyFill="1" applyAlignment="1">
      <alignment horizontal="center" vertical="center" wrapText="1"/>
    </xf>
    <xf numFmtId="0" fontId="67" fillId="0" borderId="36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top" wrapText="1"/>
    </xf>
    <xf numFmtId="49" fontId="67" fillId="0" borderId="34" xfId="0" applyNumberFormat="1" applyFont="1" applyFill="1" applyBorder="1" applyAlignment="1">
      <alignment horizontal="center" vertical="top" wrapText="1"/>
    </xf>
    <xf numFmtId="4" fontId="67" fillId="0" borderId="34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top" wrapText="1"/>
    </xf>
    <xf numFmtId="3" fontId="68" fillId="0" borderId="0" xfId="0" applyNumberFormat="1" applyFont="1" applyFill="1" applyAlignment="1">
      <alignment horizontal="center" vertical="center" wrapText="1"/>
    </xf>
    <xf numFmtId="4" fontId="106" fillId="0" borderId="13" xfId="0" applyNumberFormat="1" applyFont="1" applyBorder="1" applyAlignment="1">
      <alignment horizontal="center" vertical="top" wrapText="1"/>
    </xf>
    <xf numFmtId="0" fontId="106" fillId="0" borderId="35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vertical="center" wrapText="1"/>
    </xf>
    <xf numFmtId="4" fontId="18" fillId="26" borderId="32" xfId="0" applyNumberFormat="1" applyFont="1" applyFill="1" applyBorder="1" applyAlignment="1">
      <alignment horizontal="left" vertical="center" wrapText="1"/>
    </xf>
    <xf numFmtId="3" fontId="4" fillId="105" borderId="37" xfId="0" applyNumberFormat="1" applyFont="1" applyFill="1" applyBorder="1" applyAlignment="1">
      <alignment horizontal="center" vertical="center" wrapText="1"/>
    </xf>
    <xf numFmtId="3" fontId="4" fillId="105" borderId="32" xfId="0" applyNumberFormat="1" applyFont="1" applyFill="1" applyBorder="1" applyAlignment="1">
      <alignment horizontal="center" vertical="center" wrapText="1"/>
    </xf>
    <xf numFmtId="4" fontId="18" fillId="26" borderId="13" xfId="0" applyNumberFormat="1" applyFont="1" applyFill="1" applyBorder="1" applyAlignment="1">
      <alignment horizontal="center" vertical="center" wrapText="1"/>
    </xf>
    <xf numFmtId="0" fontId="107" fillId="0" borderId="13" xfId="0" applyFont="1" applyBorder="1" applyAlignment="1">
      <alignment vertical="center" wrapText="1"/>
    </xf>
    <xf numFmtId="0" fontId="107" fillId="0" borderId="13" xfId="0" applyFont="1" applyFill="1" applyBorder="1" applyAlignment="1">
      <alignment vertical="center" wrapText="1"/>
    </xf>
    <xf numFmtId="0" fontId="107" fillId="0" borderId="30" xfId="0" applyFont="1" applyFill="1" applyBorder="1" applyAlignment="1">
      <alignment horizontal="left" vertical="center" wrapText="1"/>
    </xf>
    <xf numFmtId="0" fontId="106" fillId="0" borderId="31" xfId="0" applyFont="1" applyFill="1" applyBorder="1" applyAlignment="1">
      <alignment horizontal="center" vertical="top" wrapText="1"/>
    </xf>
    <xf numFmtId="0" fontId="106" fillId="0" borderId="30" xfId="0" applyFont="1" applyFill="1" applyBorder="1" applyAlignment="1">
      <alignment horizontal="center" vertical="top" wrapText="1"/>
    </xf>
    <xf numFmtId="49" fontId="106" fillId="0" borderId="34" xfId="0" applyNumberFormat="1" applyFont="1" applyFill="1" applyBorder="1" applyAlignment="1">
      <alignment vertical="top" wrapText="1"/>
    </xf>
    <xf numFmtId="0" fontId="106" fillId="0" borderId="32" xfId="0" applyFont="1" applyFill="1" applyBorder="1" applyAlignment="1">
      <alignment horizontal="center" vertical="top" wrapText="1"/>
    </xf>
    <xf numFmtId="0" fontId="106" fillId="0" borderId="13" xfId="0" applyFont="1" applyFill="1" applyBorder="1" applyAlignment="1">
      <alignment vertical="top" wrapText="1"/>
    </xf>
    <xf numFmtId="0" fontId="106" fillId="0" borderId="34" xfId="0" applyFont="1" applyFill="1" applyBorder="1" applyAlignment="1">
      <alignment vertical="top" wrapText="1"/>
    </xf>
    <xf numFmtId="0" fontId="106" fillId="0" borderId="31" xfId="0" applyFont="1" applyFill="1" applyBorder="1" applyAlignment="1">
      <alignment vertical="top" wrapText="1"/>
    </xf>
    <xf numFmtId="0" fontId="106" fillId="0" borderId="38" xfId="0" applyFont="1" applyFill="1" applyBorder="1" applyAlignment="1">
      <alignment vertical="top" wrapText="1"/>
    </xf>
    <xf numFmtId="0" fontId="108" fillId="0" borderId="0" xfId="0" applyFont="1" applyAlignment="1">
      <alignment/>
    </xf>
    <xf numFmtId="171" fontId="4" fillId="0" borderId="13" xfId="0" applyNumberFormat="1" applyFont="1" applyFill="1" applyBorder="1" applyAlignment="1">
      <alignment horizontal="center" vertical="center" wrapText="1"/>
    </xf>
    <xf numFmtId="190" fontId="4" fillId="0" borderId="34" xfId="1089" applyNumberFormat="1" applyFont="1" applyFill="1" applyBorder="1" applyAlignment="1">
      <alignment horizontal="center" vertical="center" wrapText="1"/>
    </xf>
    <xf numFmtId="186" fontId="4" fillId="0" borderId="13" xfId="1089" applyNumberFormat="1" applyFont="1" applyFill="1" applyBorder="1" applyAlignment="1">
      <alignment horizontal="center" vertical="center" wrapText="1"/>
    </xf>
    <xf numFmtId="0" fontId="109" fillId="0" borderId="13" xfId="0" applyFont="1" applyFill="1" applyBorder="1" applyAlignment="1">
      <alignment vertical="center" wrapText="1"/>
    </xf>
    <xf numFmtId="0" fontId="110" fillId="0" borderId="13" xfId="0" applyFont="1" applyFill="1" applyBorder="1" applyAlignment="1">
      <alignment horizontal="center" vertical="top" wrapText="1"/>
    </xf>
    <xf numFmtId="0" fontId="110" fillId="0" borderId="34" xfId="0" applyFont="1" applyFill="1" applyBorder="1" applyAlignment="1">
      <alignment horizontal="center" vertical="top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10" fillId="0" borderId="13" xfId="0" applyFont="1" applyFill="1" applyBorder="1" applyAlignment="1">
      <alignment vertical="center" wrapText="1"/>
    </xf>
    <xf numFmtId="0" fontId="110" fillId="105" borderId="13" xfId="0" applyFont="1" applyFill="1" applyBorder="1" applyAlignment="1">
      <alignment horizontal="center" vertical="top" wrapText="1"/>
    </xf>
    <xf numFmtId="0" fontId="110" fillId="105" borderId="34" xfId="0" applyFont="1" applyFill="1" applyBorder="1" applyAlignment="1">
      <alignment horizontal="center" vertical="top" wrapText="1"/>
    </xf>
    <xf numFmtId="4" fontId="18" fillId="105" borderId="3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110" fillId="0" borderId="36" xfId="0" applyFont="1" applyFill="1" applyBorder="1" applyAlignment="1">
      <alignment vertical="center" wrapText="1"/>
    </xf>
    <xf numFmtId="49" fontId="110" fillId="0" borderId="13" xfId="0" applyNumberFormat="1" applyFont="1" applyFill="1" applyBorder="1" applyAlignment="1">
      <alignment horizontal="center" vertical="top" wrapText="1"/>
    </xf>
    <xf numFmtId="49" fontId="110" fillId="0" borderId="34" xfId="0" applyNumberFormat="1" applyFont="1" applyFill="1" applyBorder="1" applyAlignment="1">
      <alignment horizontal="center" vertical="top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110" fillId="0" borderId="13" xfId="0" applyFont="1" applyBorder="1" applyAlignment="1">
      <alignment horizontal="center" vertical="top" wrapText="1"/>
    </xf>
    <xf numFmtId="4" fontId="110" fillId="0" borderId="13" xfId="0" applyNumberFormat="1" applyFont="1" applyBorder="1" applyAlignment="1">
      <alignment horizontal="center" vertical="top" wrapText="1"/>
    </xf>
    <xf numFmtId="0" fontId="109" fillId="0" borderId="13" xfId="0" applyFont="1" applyBorder="1" applyAlignment="1">
      <alignment vertical="center" wrapText="1"/>
    </xf>
    <xf numFmtId="0" fontId="110" fillId="0" borderId="34" xfId="0" applyFont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49" fontId="67" fillId="0" borderId="13" xfId="0" applyNumberFormat="1" applyFont="1" applyFill="1" applyBorder="1" applyAlignment="1" applyProtection="1">
      <alignment horizontal="center" vertical="center" wrapText="1"/>
      <protection/>
    </xf>
    <xf numFmtId="4" fontId="18" fillId="0" borderId="34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14" fontId="100" fillId="0" borderId="0" xfId="0" applyNumberFormat="1" applyFont="1" applyAlignment="1">
      <alignment/>
    </xf>
    <xf numFmtId="0" fontId="0" fillId="103" borderId="13" xfId="0" applyFill="1" applyBorder="1" applyAlignment="1">
      <alignment horizontal="center"/>
    </xf>
    <xf numFmtId="49" fontId="21" fillId="103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580" applyFont="1" applyFill="1">
      <alignment/>
      <protection/>
    </xf>
    <xf numFmtId="0" fontId="69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wrapText="1"/>
      <protection/>
    </xf>
    <xf numFmtId="0" fontId="69" fillId="0" borderId="0" xfId="580" applyFont="1" applyFill="1" applyAlignment="1">
      <alignment wrapText="1"/>
      <protection/>
    </xf>
    <xf numFmtId="0" fontId="72" fillId="0" borderId="0" xfId="580" applyNumberFormat="1" applyFont="1" applyFill="1" applyBorder="1" applyAlignment="1">
      <alignment/>
      <protection/>
    </xf>
    <xf numFmtId="0" fontId="69" fillId="0" borderId="0" xfId="580" applyFont="1" applyFill="1" applyBorder="1">
      <alignment/>
      <protection/>
    </xf>
    <xf numFmtId="0" fontId="69" fillId="0" borderId="33" xfId="580" applyFont="1" applyFill="1" applyBorder="1">
      <alignment/>
      <protection/>
    </xf>
    <xf numFmtId="0" fontId="71" fillId="0" borderId="0" xfId="580" applyFont="1" applyFill="1">
      <alignment/>
      <protection/>
    </xf>
    <xf numFmtId="0" fontId="8" fillId="0" borderId="0" xfId="580" applyFill="1" applyBorder="1" applyAlignment="1">
      <alignment/>
      <protection/>
    </xf>
    <xf numFmtId="0" fontId="67" fillId="0" borderId="36" xfId="580" applyNumberFormat="1" applyFont="1" applyFill="1" applyBorder="1" applyAlignment="1">
      <alignment horizont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8" fillId="0" borderId="36" xfId="580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Font="1" applyFill="1" applyBorder="1" applyAlignment="1">
      <alignment horizontal="center"/>
      <protection/>
    </xf>
    <xf numFmtId="0" fontId="67" fillId="0" borderId="36" xfId="580" applyNumberFormat="1" applyFont="1" applyFill="1" applyBorder="1" applyAlignment="1">
      <alignment horizontal="center" vertical="top"/>
      <protection/>
    </xf>
    <xf numFmtId="0" fontId="67" fillId="0" borderId="36" xfId="580" applyNumberFormat="1" applyFont="1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center" vertical="top"/>
      <protection/>
    </xf>
    <xf numFmtId="0" fontId="67" fillId="0" borderId="0" xfId="580" applyNumberFormat="1" applyFont="1" applyFill="1" applyBorder="1" applyAlignment="1">
      <alignment vertical="top"/>
      <protection/>
    </xf>
    <xf numFmtId="0" fontId="69" fillId="0" borderId="13" xfId="580" applyFont="1" applyFill="1" applyBorder="1">
      <alignment/>
      <protection/>
    </xf>
    <xf numFmtId="0" fontId="67" fillId="0" borderId="36" xfId="580" applyNumberFormat="1" applyFont="1" applyFill="1" applyBorder="1" applyAlignment="1">
      <alignment vertical="center" wrapText="1"/>
      <protection/>
    </xf>
    <xf numFmtId="4" fontId="69" fillId="0" borderId="36" xfId="0" applyNumberFormat="1" applyFont="1" applyBorder="1" applyAlignment="1">
      <alignment horizontal="center" vertical="center"/>
    </xf>
    <xf numFmtId="4" fontId="69" fillId="0" borderId="13" xfId="0" applyNumberFormat="1" applyFont="1" applyBorder="1" applyAlignment="1">
      <alignment horizontal="center" vertical="center"/>
    </xf>
    <xf numFmtId="4" fontId="69" fillId="0" borderId="13" xfId="0" applyNumberFormat="1" applyFont="1" applyFill="1" applyBorder="1" applyAlignment="1">
      <alignment horizontal="center" vertical="center"/>
    </xf>
    <xf numFmtId="0" fontId="67" fillId="0" borderId="13" xfId="580" applyNumberFormat="1" applyFont="1" applyFill="1" applyBorder="1" applyAlignment="1">
      <alignment horizontal="left" vertical="center"/>
      <protection/>
    </xf>
    <xf numFmtId="0" fontId="67" fillId="0" borderId="0" xfId="580" applyNumberFormat="1" applyFont="1" applyFill="1" applyBorder="1" applyAlignment="1">
      <alignment vertical="center"/>
      <protection/>
    </xf>
    <xf numFmtId="49" fontId="67" fillId="0" borderId="36" xfId="580" applyNumberFormat="1" applyFont="1" applyFill="1" applyBorder="1" applyAlignment="1">
      <alignment vertical="center"/>
      <protection/>
    </xf>
    <xf numFmtId="4" fontId="71" fillId="0" borderId="13" xfId="0" applyNumberFormat="1" applyFont="1" applyFill="1" applyBorder="1" applyAlignment="1">
      <alignment horizontal="center" vertical="center"/>
    </xf>
    <xf numFmtId="0" fontId="67" fillId="0" borderId="36" xfId="580" applyNumberFormat="1" applyFont="1" applyFill="1" applyBorder="1" applyAlignment="1">
      <alignment horizontal="center" vertical="center"/>
      <protection/>
    </xf>
    <xf numFmtId="4" fontId="102" fillId="0" borderId="13" xfId="606" applyNumberFormat="1" applyFont="1" applyFill="1" applyBorder="1" applyAlignment="1">
      <alignment horizontal="center" wrapText="1"/>
      <protection/>
    </xf>
    <xf numFmtId="0" fontId="102" fillId="0" borderId="13" xfId="606" applyFont="1" applyFill="1" applyBorder="1" applyAlignment="1">
      <alignment horizontal="center" vertical="top" wrapText="1"/>
      <protection/>
    </xf>
    <xf numFmtId="0" fontId="71" fillId="0" borderId="13" xfId="580" applyNumberFormat="1" applyFont="1" applyFill="1" applyBorder="1" applyAlignment="1">
      <alignment horizontal="center" vertical="center"/>
      <protection/>
    </xf>
    <xf numFmtId="0" fontId="71" fillId="0" borderId="13" xfId="580" applyFont="1" applyFill="1" applyBorder="1">
      <alignment/>
      <protection/>
    </xf>
    <xf numFmtId="0" fontId="102" fillId="0" borderId="0" xfId="606" applyFont="1" applyFill="1" applyBorder="1" applyAlignment="1">
      <alignment horizontal="center" vertical="top" wrapText="1"/>
      <protection/>
    </xf>
    <xf numFmtId="0" fontId="102" fillId="0" borderId="0" xfId="606" applyFont="1" applyFill="1" applyBorder="1" applyAlignment="1">
      <alignment horizontal="center" wrapText="1"/>
      <protection/>
    </xf>
    <xf numFmtId="0" fontId="67" fillId="0" borderId="0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>
      <alignment/>
      <protection/>
    </xf>
    <xf numFmtId="0" fontId="71" fillId="0" borderId="0" xfId="580" applyFont="1" applyFill="1" applyAlignment="1">
      <alignment horizontal="left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8" fillId="0" borderId="0" xfId="580" applyFill="1" applyBorder="1" applyAlignment="1">
      <alignment vertical="top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2" fontId="69" fillId="0" borderId="0" xfId="580" applyNumberFormat="1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/>
      <protection/>
    </xf>
    <xf numFmtId="0" fontId="67" fillId="0" borderId="36" xfId="580" applyFont="1" applyFill="1" applyBorder="1" applyAlignment="1">
      <alignment horizontal="center"/>
      <protection/>
    </xf>
    <xf numFmtId="0" fontId="67" fillId="0" borderId="0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center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vertical="top" wrapText="1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horizontal="center"/>
      <protection/>
    </xf>
    <xf numFmtId="49" fontId="67" fillId="0" borderId="36" xfId="580" applyNumberFormat="1" applyFont="1" applyFill="1" applyBorder="1" applyAlignment="1">
      <alignment horizontal="center" vertical="center"/>
      <protection/>
    </xf>
    <xf numFmtId="171" fontId="69" fillId="0" borderId="13" xfId="0" applyNumberFormat="1" applyFont="1" applyBorder="1" applyAlignment="1">
      <alignment horizontal="center" vertical="top"/>
    </xf>
    <xf numFmtId="0" fontId="69" fillId="0" borderId="13" xfId="0" applyFont="1" applyBorder="1" applyAlignment="1">
      <alignment horizontal="center" vertical="top"/>
    </xf>
    <xf numFmtId="4" fontId="70" fillId="0" borderId="13" xfId="0" applyNumberFormat="1" applyFont="1" applyBorder="1" applyAlignment="1">
      <alignment horizontal="center" vertical="top"/>
    </xf>
    <xf numFmtId="4" fontId="71" fillId="0" borderId="13" xfId="580" applyNumberFormat="1" applyFont="1" applyFill="1" applyBorder="1">
      <alignment/>
      <protection/>
    </xf>
    <xf numFmtId="0" fontId="69" fillId="0" borderId="0" xfId="580" applyFont="1" applyFill="1" applyBorder="1" applyAlignment="1">
      <alignment horizontal="left"/>
      <protection/>
    </xf>
    <xf numFmtId="0" fontId="71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67" fillId="0" borderId="0" xfId="580" applyNumberFormat="1" applyFont="1" applyFill="1" applyBorder="1" applyAlignment="1">
      <alignment vertical="center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73" fillId="0" borderId="36" xfId="580" applyNumberFormat="1" applyFont="1" applyFill="1" applyBorder="1" applyAlignment="1">
      <alignment horizontal="center" vertical="center"/>
      <protection/>
    </xf>
    <xf numFmtId="0" fontId="73" fillId="0" borderId="13" xfId="580" applyFont="1" applyFill="1" applyBorder="1" applyAlignment="1">
      <alignment horizontal="center" vertical="center"/>
      <protection/>
    </xf>
    <xf numFmtId="0" fontId="73" fillId="0" borderId="36" xfId="580" applyFont="1" applyFill="1" applyBorder="1" applyAlignment="1">
      <alignment horizontal="center" vertical="center"/>
      <protection/>
    </xf>
    <xf numFmtId="49" fontId="69" fillId="0" borderId="13" xfId="580" applyNumberFormat="1" applyFont="1" applyFill="1" applyBorder="1" applyAlignment="1">
      <alignment horizontal="center" vertical="center"/>
      <protection/>
    </xf>
    <xf numFmtId="0" fontId="69" fillId="0" borderId="13" xfId="580" applyNumberFormat="1" applyFont="1" applyFill="1" applyBorder="1" applyAlignment="1">
      <alignment horizontal="center" vertical="center"/>
      <protection/>
    </xf>
    <xf numFmtId="0" fontId="69" fillId="0" borderId="36" xfId="580" applyNumberFormat="1" applyFont="1" applyFill="1" applyBorder="1" applyAlignment="1">
      <alignment/>
      <protection/>
    </xf>
    <xf numFmtId="0" fontId="69" fillId="0" borderId="36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vertical="center"/>
      <protection/>
    </xf>
    <xf numFmtId="0" fontId="69" fillId="0" borderId="0" xfId="580" applyFont="1" applyFill="1" applyBorder="1" applyAlignment="1">
      <alignment/>
      <protection/>
    </xf>
    <xf numFmtId="0" fontId="67" fillId="0" borderId="13" xfId="580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7" fillId="0" borderId="36" xfId="580" applyFont="1" applyFill="1" applyBorder="1" applyAlignment="1">
      <alignment horizontal="center" vertical="center"/>
      <protection/>
    </xf>
    <xf numFmtId="4" fontId="69" fillId="0" borderId="13" xfId="1068" applyNumberFormat="1" applyFont="1" applyFill="1" applyBorder="1" applyAlignment="1">
      <alignment horizontal="center"/>
    </xf>
    <xf numFmtId="177" fontId="69" fillId="0" borderId="13" xfId="580" applyNumberFormat="1" applyFont="1" applyFill="1" applyBorder="1" applyAlignment="1">
      <alignment horizontal="center" vertical="center"/>
      <protection/>
    </xf>
    <xf numFmtId="176" fontId="69" fillId="0" borderId="13" xfId="1068" applyNumberFormat="1" applyFont="1" applyFill="1" applyBorder="1" applyAlignment="1">
      <alignment horizontal="center"/>
    </xf>
    <xf numFmtId="0" fontId="69" fillId="0" borderId="36" xfId="580" applyFont="1" applyFill="1" applyBorder="1">
      <alignment/>
      <protection/>
    </xf>
    <xf numFmtId="4" fontId="69" fillId="0" borderId="13" xfId="580" applyNumberFormat="1" applyFont="1" applyFill="1" applyBorder="1" applyAlignment="1">
      <alignment horizontal="center"/>
      <protection/>
    </xf>
    <xf numFmtId="0" fontId="69" fillId="0" borderId="36" xfId="580" applyNumberFormat="1" applyFont="1" applyFill="1" applyBorder="1" applyAlignment="1">
      <alignment horizontal="center" vertical="center"/>
      <protection/>
    </xf>
    <xf numFmtId="177" fontId="71" fillId="0" borderId="13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NumberFormat="1" applyFont="1" applyFill="1" applyBorder="1" applyAlignment="1">
      <alignment horizontal="center" wrapText="1"/>
      <protection/>
    </xf>
    <xf numFmtId="0" fontId="69" fillId="0" borderId="36" xfId="580" applyFont="1" applyFill="1" applyBorder="1" applyAlignment="1">
      <alignment horizontal="center" wrapText="1"/>
      <protection/>
    </xf>
    <xf numFmtId="2" fontId="69" fillId="0" borderId="0" xfId="580" applyNumberFormat="1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vertical="center" wrapText="1"/>
      <protection/>
    </xf>
    <xf numFmtId="0" fontId="67" fillId="0" borderId="13" xfId="580" applyNumberFormat="1" applyFont="1" applyFill="1" applyBorder="1" applyAlignment="1">
      <alignment horizontal="center"/>
      <protection/>
    </xf>
    <xf numFmtId="0" fontId="69" fillId="0" borderId="13" xfId="580" applyNumberFormat="1" applyFont="1" applyFill="1" applyBorder="1" applyAlignment="1">
      <alignment horizontal="center"/>
      <protection/>
    </xf>
    <xf numFmtId="0" fontId="69" fillId="0" borderId="0" xfId="580" applyNumberFormat="1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 horizontal="center" wrapText="1"/>
      <protection/>
    </xf>
    <xf numFmtId="0" fontId="71" fillId="0" borderId="0" xfId="580" applyFont="1" applyFill="1" applyAlignment="1">
      <alignment wrapText="1"/>
      <protection/>
    </xf>
    <xf numFmtId="0" fontId="67" fillId="0" borderId="31" xfId="580" applyFont="1" applyFill="1" applyBorder="1" applyAlignment="1">
      <alignment horizontal="center"/>
      <protection/>
    </xf>
    <xf numFmtId="0" fontId="67" fillId="0" borderId="39" xfId="580" applyNumberFormat="1" applyFont="1" applyFill="1" applyBorder="1" applyAlignment="1">
      <alignment horizontal="center"/>
      <protection/>
    </xf>
    <xf numFmtId="0" fontId="71" fillId="0" borderId="0" xfId="580" applyFont="1" applyFill="1" applyBorder="1" applyAlignment="1">
      <alignment/>
      <protection/>
    </xf>
    <xf numFmtId="0" fontId="67" fillId="0" borderId="0" xfId="580" applyNumberFormat="1" applyFont="1" applyFill="1" applyBorder="1" applyAlignment="1">
      <alignment horizontal="left" vertical="center" wrapText="1"/>
      <protection/>
    </xf>
    <xf numFmtId="0" fontId="67" fillId="0" borderId="0" xfId="580" applyNumberFormat="1" applyFont="1" applyFill="1" applyBorder="1" applyAlignment="1">
      <alignment horizontal="left" vertical="top"/>
      <protection/>
    </xf>
    <xf numFmtId="0" fontId="67" fillId="0" borderId="13" xfId="0" applyNumberFormat="1" applyFont="1" applyBorder="1" applyAlignment="1">
      <alignment horizontal="center" wrapText="1"/>
    </xf>
    <xf numFmtId="195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Fill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/>
    </xf>
    <xf numFmtId="171" fontId="71" fillId="0" borderId="13" xfId="580" applyNumberFormat="1" applyFont="1" applyFill="1" applyBorder="1" applyAlignment="1">
      <alignment horizontal="center" vertical="center"/>
      <protection/>
    </xf>
    <xf numFmtId="171" fontId="71" fillId="0" borderId="36" xfId="580" applyNumberFormat="1" applyFont="1" applyFill="1" applyBorder="1" applyAlignment="1">
      <alignment horizontal="center"/>
      <protection/>
    </xf>
    <xf numFmtId="171" fontId="71" fillId="0" borderId="13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horizontal="left" vertical="center"/>
      <protection/>
    </xf>
    <xf numFmtId="49" fontId="69" fillId="0" borderId="36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wrapText="1"/>
    </xf>
    <xf numFmtId="4" fontId="69" fillId="0" borderId="13" xfId="0" applyNumberFormat="1" applyFont="1" applyFill="1" applyBorder="1" applyAlignment="1">
      <alignment horizontal="center" wrapText="1"/>
    </xf>
    <xf numFmtId="4" fontId="69" fillId="0" borderId="13" xfId="0" applyNumberFormat="1" applyFont="1" applyBorder="1" applyAlignment="1">
      <alignment horizontal="center"/>
    </xf>
    <xf numFmtId="0" fontId="69" fillId="0" borderId="36" xfId="580" applyNumberFormat="1" applyFont="1" applyFill="1" applyBorder="1" applyAlignment="1">
      <alignment horizontal="center" wrapText="1"/>
      <protection/>
    </xf>
    <xf numFmtId="4" fontId="69" fillId="0" borderId="36" xfId="580" applyNumberFormat="1" applyFont="1" applyFill="1" applyBorder="1" applyAlignment="1">
      <alignment horizontal="center"/>
      <protection/>
    </xf>
    <xf numFmtId="4" fontId="71" fillId="0" borderId="36" xfId="580" applyNumberFormat="1" applyFont="1" applyFill="1" applyBorder="1" applyAlignment="1">
      <alignment horizontal="center"/>
      <protection/>
    </xf>
    <xf numFmtId="4" fontId="70" fillId="0" borderId="13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171" fontId="69" fillId="0" borderId="13" xfId="0" applyNumberFormat="1" applyFont="1" applyBorder="1" applyAlignment="1">
      <alignment horizontal="center" vertical="center"/>
    </xf>
    <xf numFmtId="0" fontId="74" fillId="0" borderId="36" xfId="580" applyNumberFormat="1" applyFont="1" applyFill="1" applyBorder="1" applyAlignment="1">
      <alignment horizontal="center"/>
      <protection/>
    </xf>
    <xf numFmtId="171" fontId="70" fillId="0" borderId="13" xfId="580" applyNumberFormat="1" applyFont="1" applyFill="1" applyBorder="1" applyAlignment="1">
      <alignment horizontal="center"/>
      <protection/>
    </xf>
    <xf numFmtId="171" fontId="70" fillId="0" borderId="36" xfId="580" applyNumberFormat="1" applyFont="1" applyFill="1" applyBorder="1" applyAlignment="1">
      <alignment horizontal="center"/>
      <protection/>
    </xf>
    <xf numFmtId="171" fontId="69" fillId="0" borderId="13" xfId="580" applyNumberFormat="1" applyFont="1" applyFill="1" applyBorder="1" applyAlignment="1">
      <alignment horizontal="center"/>
      <protection/>
    </xf>
    <xf numFmtId="0" fontId="8" fillId="0" borderId="0" xfId="580" applyFill="1" applyBorder="1" applyAlignment="1">
      <alignment vertical="top" wrapText="1"/>
      <protection/>
    </xf>
    <xf numFmtId="0" fontId="69" fillId="0" borderId="34" xfId="580" applyFont="1" applyFill="1" applyBorder="1" applyAlignment="1">
      <alignment horizontal="center" vertical="center"/>
      <protection/>
    </xf>
    <xf numFmtId="171" fontId="69" fillId="0" borderId="13" xfId="580" applyNumberFormat="1" applyFont="1" applyFill="1" applyBorder="1" applyAlignment="1">
      <alignment horizontal="center" vertical="center"/>
      <protection/>
    </xf>
    <xf numFmtId="171" fontId="71" fillId="0" borderId="13" xfId="580" applyNumberFormat="1" applyFont="1" applyFill="1" applyBorder="1">
      <alignment/>
      <protection/>
    </xf>
    <xf numFmtId="0" fontId="69" fillId="0" borderId="13" xfId="0" applyFont="1" applyBorder="1" applyAlignment="1">
      <alignment horizontal="center"/>
    </xf>
    <xf numFmtId="1" fontId="69" fillId="0" borderId="13" xfId="0" applyNumberFormat="1" applyFont="1" applyBorder="1" applyAlignment="1">
      <alignment horizontal="center"/>
    </xf>
    <xf numFmtId="0" fontId="71" fillId="0" borderId="13" xfId="580" applyFont="1" applyFill="1" applyBorder="1" applyAlignment="1">
      <alignment horizontal="center"/>
      <protection/>
    </xf>
    <xf numFmtId="0" fontId="70" fillId="0" borderId="0" xfId="580" applyFont="1">
      <alignment/>
      <protection/>
    </xf>
    <xf numFmtId="0" fontId="75" fillId="0" borderId="0" xfId="580" applyFont="1" applyBorder="1" applyAlignment="1">
      <alignment horizontal="center"/>
      <protection/>
    </xf>
    <xf numFmtId="0" fontId="69" fillId="0" borderId="0" xfId="580" applyFont="1">
      <alignment/>
      <protection/>
    </xf>
    <xf numFmtId="0" fontId="69" fillId="0" borderId="0" xfId="580" applyFont="1" applyBorder="1">
      <alignment/>
      <protection/>
    </xf>
    <xf numFmtId="0" fontId="69" fillId="0" borderId="0" xfId="580" applyFont="1" applyBorder="1" applyAlignment="1">
      <alignment horizontal="left"/>
      <protection/>
    </xf>
    <xf numFmtId="0" fontId="69" fillId="0" borderId="0" xfId="580" applyFont="1" applyBorder="1" applyAlignment="1">
      <alignment horizontal="center"/>
      <protection/>
    </xf>
    <xf numFmtId="0" fontId="69" fillId="0" borderId="13" xfId="580" applyFont="1" applyBorder="1" applyAlignment="1">
      <alignment horizontal="center" vertical="top"/>
      <protection/>
    </xf>
    <xf numFmtId="0" fontId="69" fillId="0" borderId="13" xfId="580" applyFont="1" applyBorder="1" applyAlignment="1">
      <alignment horizontal="center" vertical="top" wrapText="1"/>
      <protection/>
    </xf>
    <xf numFmtId="0" fontId="100" fillId="0" borderId="0" xfId="580" applyFont="1" applyFill="1" applyBorder="1" applyAlignment="1">
      <alignment horizontal="center"/>
      <protection/>
    </xf>
    <xf numFmtId="0" fontId="69" fillId="0" borderId="13" xfId="580" applyFont="1" applyBorder="1" applyAlignment="1">
      <alignment horizontal="left" vertical="center"/>
      <protection/>
    </xf>
    <xf numFmtId="4" fontId="69" fillId="0" borderId="13" xfId="580" applyNumberFormat="1" applyFont="1" applyBorder="1" applyAlignment="1">
      <alignment horizontal="center" vertical="center" wrapText="1"/>
      <protection/>
    </xf>
    <xf numFmtId="0" fontId="100" fillId="0" borderId="0" xfId="580" applyFont="1" applyFill="1" applyBorder="1" applyAlignment="1">
      <alignment horizontal="center" vertical="center"/>
      <protection/>
    </xf>
    <xf numFmtId="4" fontId="70" fillId="0" borderId="13" xfId="580" applyNumberFormat="1" applyFont="1" applyBorder="1" applyAlignment="1">
      <alignment horizontal="center" vertical="center"/>
      <protection/>
    </xf>
    <xf numFmtId="0" fontId="100" fillId="0" borderId="0" xfId="580" applyFont="1" applyFill="1">
      <alignment/>
      <protection/>
    </xf>
    <xf numFmtId="0" fontId="100" fillId="0" borderId="0" xfId="580" applyFont="1" applyFill="1" applyAlignment="1">
      <alignment horizontal="center"/>
      <protection/>
    </xf>
    <xf numFmtId="171" fontId="69" fillId="0" borderId="36" xfId="0" applyNumberFormat="1" applyFont="1" applyBorder="1" applyAlignment="1">
      <alignment horizontal="center" vertical="top"/>
    </xf>
    <xf numFmtId="171" fontId="67" fillId="0" borderId="13" xfId="580" applyNumberFormat="1" applyFont="1" applyFill="1" applyBorder="1" applyAlignment="1">
      <alignment horizontal="center" vertical="center"/>
      <protection/>
    </xf>
    <xf numFmtId="171" fontId="69" fillId="0" borderId="36" xfId="0" applyNumberFormat="1" applyFont="1" applyBorder="1" applyAlignment="1">
      <alignment horizontal="center" vertical="center"/>
    </xf>
    <xf numFmtId="171" fontId="71" fillId="0" borderId="13" xfId="0" applyNumberFormat="1" applyFont="1" applyFill="1" applyBorder="1" applyAlignment="1">
      <alignment horizontal="center" vertical="center"/>
    </xf>
    <xf numFmtId="171" fontId="67" fillId="0" borderId="36" xfId="580" applyNumberFormat="1" applyFont="1" applyFill="1" applyBorder="1" applyAlignment="1">
      <alignment horizontal="center"/>
      <protection/>
    </xf>
    <xf numFmtId="171" fontId="67" fillId="0" borderId="36" xfId="580" applyNumberFormat="1" applyFont="1" applyFill="1" applyBorder="1" applyAlignment="1">
      <alignment horizontal="center" vertical="center"/>
      <protection/>
    </xf>
    <xf numFmtId="171" fontId="102" fillId="0" borderId="13" xfId="606" applyNumberFormat="1" applyFont="1" applyFill="1" applyBorder="1" applyAlignment="1">
      <alignment horizontal="center" wrapText="1"/>
      <protection/>
    </xf>
    <xf numFmtId="171" fontId="102" fillId="0" borderId="13" xfId="606" applyNumberFormat="1" applyFont="1" applyFill="1" applyBorder="1" applyAlignment="1">
      <alignment horizontal="center" vertical="top" wrapText="1"/>
      <protection/>
    </xf>
    <xf numFmtId="171" fontId="69" fillId="0" borderId="36" xfId="580" applyNumberFormat="1" applyFont="1" applyBorder="1" applyAlignment="1">
      <alignment horizontal="center" vertical="center"/>
      <protection/>
    </xf>
    <xf numFmtId="171" fontId="69" fillId="0" borderId="13" xfId="580" applyNumberFormat="1" applyFont="1" applyBorder="1" applyAlignment="1">
      <alignment horizontal="center" vertical="center"/>
      <protection/>
    </xf>
    <xf numFmtId="171" fontId="69" fillId="0" borderId="36" xfId="580" applyNumberFormat="1" applyFont="1" applyFill="1" applyBorder="1" applyAlignment="1">
      <alignment vertical="center"/>
      <protection/>
    </xf>
    <xf numFmtId="0" fontId="71" fillId="0" borderId="36" xfId="580" applyNumberFormat="1" applyFont="1" applyFill="1" applyBorder="1" applyAlignment="1">
      <alignment horizontal="center"/>
      <protection/>
    </xf>
    <xf numFmtId="171" fontId="71" fillId="0" borderId="36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/>
      <protection/>
    </xf>
    <xf numFmtId="0" fontId="74" fillId="0" borderId="0" xfId="580" applyNumberFormat="1" applyFont="1" applyFill="1" applyBorder="1" applyAlignment="1">
      <alignment vertical="center"/>
      <protection/>
    </xf>
    <xf numFmtId="49" fontId="74" fillId="0" borderId="0" xfId="580" applyNumberFormat="1" applyFont="1" applyFill="1" applyBorder="1" applyAlignment="1">
      <alignment vertical="center"/>
      <protection/>
    </xf>
    <xf numFmtId="0" fontId="69" fillId="0" borderId="36" xfId="580" applyNumberFormat="1" applyFont="1" applyFill="1" applyBorder="1" applyAlignment="1">
      <alignment vertical="center" wrapText="1"/>
      <protection/>
    </xf>
    <xf numFmtId="0" fontId="76" fillId="0" borderId="13" xfId="0" applyNumberFormat="1" applyFont="1" applyBorder="1" applyAlignment="1">
      <alignment horizontal="center" vertical="top" wrapText="1"/>
    </xf>
    <xf numFmtId="49" fontId="71" fillId="0" borderId="36" xfId="580" applyNumberFormat="1" applyFont="1" applyFill="1" applyBorder="1" applyAlignment="1">
      <alignment vertical="center"/>
      <protection/>
    </xf>
    <xf numFmtId="171" fontId="71" fillId="0" borderId="36" xfId="0" applyNumberFormat="1" applyFont="1" applyBorder="1" applyAlignment="1">
      <alignment horizontal="center" vertical="top"/>
    </xf>
    <xf numFmtId="171" fontId="71" fillId="0" borderId="13" xfId="0" applyNumberFormat="1" applyFont="1" applyBorder="1" applyAlignment="1">
      <alignment horizontal="center" vertical="top"/>
    </xf>
    <xf numFmtId="171" fontId="70" fillId="0" borderId="13" xfId="0" applyNumberFormat="1" applyFont="1" applyBorder="1" applyAlignment="1">
      <alignment horizontal="center" vertical="top"/>
    </xf>
    <xf numFmtId="0" fontId="71" fillId="0" borderId="13" xfId="0" applyNumberFormat="1" applyFont="1" applyBorder="1" applyAlignment="1">
      <alignment horizontal="center" vertical="top"/>
    </xf>
    <xf numFmtId="0" fontId="69" fillId="0" borderId="0" xfId="580" applyFont="1" applyFill="1" applyBorder="1" applyAlignment="1">
      <alignment horizontal="center" vertical="top" wrapText="1"/>
      <protection/>
    </xf>
    <xf numFmtId="0" fontId="69" fillId="0" borderId="0" xfId="580" applyNumberFormat="1" applyFont="1" applyFill="1" applyBorder="1" applyAlignment="1">
      <alignment horizontal="left" vertical="center" wrapText="1"/>
      <protection/>
    </xf>
    <xf numFmtId="4" fontId="69" fillId="0" borderId="13" xfId="580" applyNumberFormat="1" applyFont="1" applyFill="1" applyBorder="1" applyAlignment="1">
      <alignment horizontal="center" vertical="center"/>
      <protection/>
    </xf>
    <xf numFmtId="4" fontId="69" fillId="0" borderId="13" xfId="580" applyNumberFormat="1" applyFont="1" applyFill="1" applyBorder="1">
      <alignment/>
      <protection/>
    </xf>
    <xf numFmtId="4" fontId="71" fillId="0" borderId="0" xfId="580" applyNumberFormat="1" applyFont="1" applyFill="1" applyBorder="1">
      <alignment/>
      <protection/>
    </xf>
    <xf numFmtId="0" fontId="73" fillId="0" borderId="0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vertical="center" wrapText="1"/>
      <protection/>
    </xf>
    <xf numFmtId="0" fontId="67" fillId="0" borderId="0" xfId="580" applyFont="1" applyFill="1" applyBorder="1" applyAlignment="1">
      <alignment horizontal="center" vertical="center"/>
      <protection/>
    </xf>
    <xf numFmtId="2" fontId="69" fillId="0" borderId="13" xfId="580" applyNumberFormat="1" applyFont="1" applyFill="1" applyBorder="1" applyAlignment="1">
      <alignment horizontal="center" vertical="center"/>
      <protection/>
    </xf>
    <xf numFmtId="177" fontId="69" fillId="0" borderId="0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wrapText="1"/>
      <protection/>
    </xf>
    <xf numFmtId="4" fontId="69" fillId="0" borderId="0" xfId="580" applyNumberFormat="1" applyFont="1" applyFill="1" applyBorder="1" applyAlignment="1">
      <alignment horizontal="center"/>
      <protection/>
    </xf>
    <xf numFmtId="0" fontId="67" fillId="0" borderId="40" xfId="580" applyFont="1" applyFill="1" applyBorder="1" applyAlignment="1">
      <alignment horizontal="center"/>
      <protection/>
    </xf>
    <xf numFmtId="171" fontId="69" fillId="0" borderId="36" xfId="0" applyNumberFormat="1" applyFont="1" applyBorder="1" applyAlignment="1">
      <alignment horizontal="center"/>
    </xf>
    <xf numFmtId="171" fontId="69" fillId="0" borderId="40" xfId="0" applyNumberFormat="1" applyFont="1" applyBorder="1" applyAlignment="1">
      <alignment horizontal="center"/>
    </xf>
    <xf numFmtId="171" fontId="69" fillId="0" borderId="0" xfId="0" applyNumberFormat="1" applyFont="1" applyBorder="1" applyAlignment="1">
      <alignment horizontal="center"/>
    </xf>
    <xf numFmtId="4" fontId="67" fillId="0" borderId="36" xfId="580" applyNumberFormat="1" applyFont="1" applyFill="1" applyBorder="1" applyAlignment="1">
      <alignment horizontal="center" vertical="center"/>
      <protection/>
    </xf>
    <xf numFmtId="0" fontId="69" fillId="0" borderId="40" xfId="580" applyNumberFormat="1" applyFont="1" applyFill="1" applyBorder="1" applyAlignment="1">
      <alignment horizontal="center"/>
      <protection/>
    </xf>
    <xf numFmtId="0" fontId="74" fillId="0" borderId="36" xfId="580" applyNumberFormat="1" applyFont="1" applyFill="1" applyBorder="1" applyAlignment="1">
      <alignment horizontal="center" vertical="center"/>
      <protection/>
    </xf>
    <xf numFmtId="4" fontId="74" fillId="0" borderId="36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/>
      <protection/>
    </xf>
    <xf numFmtId="4" fontId="69" fillId="0" borderId="0" xfId="0" applyNumberFormat="1" applyFont="1" applyBorder="1" applyAlignment="1">
      <alignment horizontal="center"/>
    </xf>
    <xf numFmtId="171" fontId="69" fillId="0" borderId="13" xfId="0" applyNumberFormat="1" applyFont="1" applyBorder="1" applyAlignment="1">
      <alignment vertical="center"/>
    </xf>
    <xf numFmtId="171" fontId="69" fillId="0" borderId="13" xfId="580" applyNumberFormat="1" applyFont="1" applyFill="1" applyBorder="1" applyAlignment="1">
      <alignment vertical="center"/>
      <protection/>
    </xf>
    <xf numFmtId="4" fontId="73" fillId="0" borderId="39" xfId="580" applyNumberFormat="1" applyFont="1" applyFill="1" applyBorder="1" applyAlignment="1">
      <alignment horizontal="center"/>
      <protection/>
    </xf>
    <xf numFmtId="4" fontId="73" fillId="0" borderId="13" xfId="580" applyNumberFormat="1" applyFont="1" applyFill="1" applyBorder="1" applyAlignment="1">
      <alignment horizontal="center"/>
      <protection/>
    </xf>
    <xf numFmtId="2" fontId="69" fillId="0" borderId="13" xfId="580" applyNumberFormat="1" applyFont="1" applyFill="1" applyBorder="1">
      <alignment/>
      <protection/>
    </xf>
    <xf numFmtId="4" fontId="71" fillId="0" borderId="13" xfId="580" applyNumberFormat="1" applyFont="1" applyBorder="1" applyAlignment="1">
      <alignment horizontal="center" vertical="center" wrapText="1"/>
      <protection/>
    </xf>
    <xf numFmtId="0" fontId="74" fillId="0" borderId="36" xfId="580" applyNumberFormat="1" applyFont="1" applyFill="1" applyBorder="1" applyAlignment="1">
      <alignment vertical="center" wrapText="1"/>
      <protection/>
    </xf>
    <xf numFmtId="4" fontId="71" fillId="0" borderId="36" xfId="0" applyNumberFormat="1" applyFont="1" applyBorder="1" applyAlignment="1">
      <alignment horizontal="center" vertical="center"/>
    </xf>
    <xf numFmtId="4" fontId="71" fillId="0" borderId="13" xfId="0" applyNumberFormat="1" applyFont="1" applyBorder="1" applyAlignment="1">
      <alignment horizontal="center" vertical="center"/>
    </xf>
    <xf numFmtId="0" fontId="74" fillId="0" borderId="13" xfId="580" applyNumberFormat="1" applyFont="1" applyFill="1" applyBorder="1" applyAlignment="1">
      <alignment horizontal="left" vertical="center"/>
      <protection/>
    </xf>
    <xf numFmtId="49" fontId="74" fillId="0" borderId="36" xfId="580" applyNumberFormat="1" applyFont="1" applyFill="1" applyBorder="1" applyAlignment="1">
      <alignment vertical="center"/>
      <protection/>
    </xf>
    <xf numFmtId="0" fontId="74" fillId="0" borderId="13" xfId="580" applyNumberFormat="1" applyFont="1" applyFill="1" applyBorder="1" applyAlignment="1">
      <alignment horizontal="center" vertical="center"/>
      <protection/>
    </xf>
    <xf numFmtId="4" fontId="69" fillId="0" borderId="0" xfId="580" applyNumberFormat="1" applyFont="1" applyFill="1">
      <alignment/>
      <protection/>
    </xf>
    <xf numFmtId="0" fontId="71" fillId="0" borderId="36" xfId="580" applyNumberFormat="1" applyFont="1" applyFill="1" applyBorder="1" applyAlignment="1">
      <alignment vertical="center" wrapText="1"/>
      <protection/>
    </xf>
    <xf numFmtId="0" fontId="71" fillId="0" borderId="13" xfId="580" applyNumberFormat="1" applyFont="1" applyFill="1" applyBorder="1" applyAlignment="1">
      <alignment horizontal="left" vertical="center"/>
      <protection/>
    </xf>
    <xf numFmtId="0" fontId="71" fillId="0" borderId="0" xfId="580" applyNumberFormat="1" applyFont="1" applyFill="1" applyBorder="1" applyAlignment="1">
      <alignment vertical="center"/>
      <protection/>
    </xf>
    <xf numFmtId="171" fontId="69" fillId="0" borderId="0" xfId="580" applyNumberFormat="1" applyFont="1" applyFill="1">
      <alignment/>
      <protection/>
    </xf>
    <xf numFmtId="0" fontId="106" fillId="0" borderId="13" xfId="0" applyFont="1" applyFill="1" applyBorder="1" applyAlignment="1">
      <alignment horizontal="center" vertical="center" wrapText="1"/>
    </xf>
    <xf numFmtId="49" fontId="106" fillId="0" borderId="13" xfId="0" applyNumberFormat="1" applyFont="1" applyFill="1" applyBorder="1" applyAlignment="1">
      <alignment horizontal="center" vertical="center" wrapText="1"/>
    </xf>
    <xf numFmtId="171" fontId="69" fillId="0" borderId="0" xfId="580" applyNumberFormat="1" applyFont="1" applyFill="1" applyBorder="1">
      <alignment/>
      <protection/>
    </xf>
    <xf numFmtId="0" fontId="70" fillId="0" borderId="36" xfId="580" applyNumberFormat="1" applyFont="1" applyFill="1" applyBorder="1" applyAlignment="1">
      <alignment horizontal="center" vertical="center"/>
      <protection/>
    </xf>
    <xf numFmtId="4" fontId="70" fillId="0" borderId="13" xfId="580" applyNumberFormat="1" applyFont="1" applyFill="1" applyBorder="1" applyAlignment="1">
      <alignment horizontal="center" vertical="center"/>
      <protection/>
    </xf>
    <xf numFmtId="0" fontId="70" fillId="0" borderId="0" xfId="580" applyNumberFormat="1" applyFont="1" applyFill="1" applyBorder="1" applyAlignment="1">
      <alignment horizontal="center"/>
      <protection/>
    </xf>
    <xf numFmtId="0" fontId="70" fillId="0" borderId="0" xfId="580" applyFont="1" applyFill="1" applyBorder="1">
      <alignment/>
      <protection/>
    </xf>
    <xf numFmtId="0" fontId="70" fillId="0" borderId="0" xfId="580" applyFont="1" applyFill="1">
      <alignment/>
      <protection/>
    </xf>
    <xf numFmtId="49" fontId="71" fillId="0" borderId="39" xfId="580" applyNumberFormat="1" applyFont="1" applyFill="1" applyBorder="1" applyAlignment="1">
      <alignment horizontal="left"/>
      <protection/>
    </xf>
    <xf numFmtId="49" fontId="71" fillId="0" borderId="33" xfId="580" applyNumberFormat="1" applyFont="1" applyFill="1" applyBorder="1" applyAlignment="1">
      <alignment horizontal="left"/>
      <protection/>
    </xf>
    <xf numFmtId="0" fontId="74" fillId="0" borderId="39" xfId="580" applyNumberFormat="1" applyFont="1" applyFill="1" applyBorder="1" applyAlignment="1">
      <alignment horizontal="center"/>
      <protection/>
    </xf>
    <xf numFmtId="4" fontId="71" fillId="0" borderId="0" xfId="580" applyNumberFormat="1" applyFont="1" applyFill="1">
      <alignment/>
      <protection/>
    </xf>
    <xf numFmtId="171" fontId="4" fillId="0" borderId="13" xfId="1089" applyNumberFormat="1" applyFont="1" applyFill="1" applyBorder="1" applyAlignment="1">
      <alignment horizontal="center" vertical="center" wrapText="1"/>
    </xf>
    <xf numFmtId="0" fontId="106" fillId="0" borderId="0" xfId="0" applyFont="1" applyAlignment="1">
      <alignment wrapText="1"/>
    </xf>
    <xf numFmtId="0" fontId="71" fillId="0" borderId="36" xfId="580" applyFont="1" applyFill="1" applyBorder="1" applyAlignment="1">
      <alignment horizontal="center" vertical="center"/>
      <protection/>
    </xf>
    <xf numFmtId="0" fontId="71" fillId="0" borderId="13" xfId="580" applyFont="1" applyFill="1" applyBorder="1" applyAlignment="1">
      <alignment horizontal="center" vertical="center"/>
      <protection/>
    </xf>
    <xf numFmtId="0" fontId="74" fillId="0" borderId="0" xfId="580" applyNumberFormat="1" applyFont="1" applyFill="1" applyBorder="1" applyAlignment="1">
      <alignment horizontal="center" vertical="center"/>
      <protection/>
    </xf>
    <xf numFmtId="49" fontId="74" fillId="0" borderId="0" xfId="580" applyNumberFormat="1" applyFont="1" applyFill="1" applyBorder="1" applyAlignment="1">
      <alignment horizontal="center" vertical="center"/>
      <protection/>
    </xf>
    <xf numFmtId="4" fontId="69" fillId="0" borderId="0" xfId="580" applyNumberFormat="1" applyFont="1" applyFill="1" applyBorder="1">
      <alignment/>
      <protection/>
    </xf>
    <xf numFmtId="0" fontId="69" fillId="0" borderId="13" xfId="580" applyFont="1" applyFill="1" applyBorder="1" applyAlignment="1">
      <alignment vertical="center"/>
      <protection/>
    </xf>
    <xf numFmtId="0" fontId="67" fillId="0" borderId="0" xfId="0" applyFont="1" applyFill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10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top" wrapText="1"/>
    </xf>
    <xf numFmtId="0" fontId="9" fillId="0" borderId="3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3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/>
    </xf>
    <xf numFmtId="0" fontId="4" fillId="0" borderId="4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11" fillId="0" borderId="33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193" fontId="3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42" xfId="0" applyNumberFormat="1" applyFont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left" vertical="center" wrapText="1"/>
    </xf>
    <xf numFmtId="4" fontId="13" fillId="0" borderId="32" xfId="0" applyNumberFormat="1" applyFont="1" applyBorder="1" applyAlignment="1">
      <alignment horizontal="left" vertical="center" wrapText="1"/>
    </xf>
    <xf numFmtId="4" fontId="13" fillId="0" borderId="31" xfId="0" applyNumberFormat="1" applyFont="1" applyBorder="1" applyAlignment="1">
      <alignment horizontal="left" vertical="center" wrapText="1"/>
    </xf>
    <xf numFmtId="4" fontId="13" fillId="106" borderId="30" xfId="0" applyNumberFormat="1" applyFont="1" applyFill="1" applyBorder="1" applyAlignment="1">
      <alignment horizontal="center" vertical="center" wrapText="1"/>
    </xf>
    <xf numFmtId="4" fontId="13" fillId="106" borderId="32" xfId="0" applyNumberFormat="1" applyFont="1" applyFill="1" applyBorder="1" applyAlignment="1">
      <alignment horizontal="center" vertical="center" wrapText="1"/>
    </xf>
    <xf numFmtId="4" fontId="13" fillId="106" borderId="31" xfId="0" applyNumberFormat="1" applyFont="1" applyFill="1" applyBorder="1" applyAlignment="1">
      <alignment horizontal="center" vertical="center" wrapText="1"/>
    </xf>
    <xf numFmtId="4" fontId="13" fillId="103" borderId="30" xfId="0" applyNumberFormat="1" applyFont="1" applyFill="1" applyBorder="1" applyAlignment="1">
      <alignment horizontal="center" vertical="center" wrapText="1"/>
    </xf>
    <xf numFmtId="4" fontId="13" fillId="103" borderId="32" xfId="0" applyNumberFormat="1" applyFont="1" applyFill="1" applyBorder="1" applyAlignment="1">
      <alignment horizontal="center" vertical="center" wrapText="1"/>
    </xf>
    <xf numFmtId="4" fontId="13" fillId="103" borderId="3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00" fillId="0" borderId="0" xfId="0" applyFont="1" applyAlignment="1">
      <alignment horizontal="left" wrapText="1"/>
    </xf>
    <xf numFmtId="2" fontId="100" fillId="0" borderId="13" xfId="0" applyNumberFormat="1" applyFont="1" applyBorder="1" applyAlignment="1">
      <alignment vertical="top" wrapText="1"/>
    </xf>
    <xf numFmtId="2" fontId="100" fillId="0" borderId="13" xfId="0" applyNumberFormat="1" applyFont="1" applyBorder="1" applyAlignment="1">
      <alignment wrapText="1"/>
    </xf>
    <xf numFmtId="0" fontId="100" fillId="0" borderId="13" xfId="0" applyFont="1" applyBorder="1" applyAlignment="1">
      <alignment vertical="top" wrapText="1"/>
    </xf>
    <xf numFmtId="0" fontId="100" fillId="0" borderId="13" xfId="0" applyFont="1" applyBorder="1" applyAlignment="1">
      <alignment horizontal="center" wrapText="1"/>
    </xf>
    <xf numFmtId="2" fontId="100" fillId="0" borderId="13" xfId="0" applyNumberFormat="1" applyFont="1" applyFill="1" applyBorder="1" applyAlignment="1">
      <alignment wrapText="1"/>
    </xf>
    <xf numFmtId="0" fontId="100" fillId="0" borderId="13" xfId="0" applyFont="1" applyFill="1" applyBorder="1" applyAlignment="1">
      <alignment wrapText="1"/>
    </xf>
    <xf numFmtId="0" fontId="100" fillId="0" borderId="13" xfId="0" applyFont="1" applyBorder="1" applyAlignment="1">
      <alignment wrapText="1"/>
    </xf>
    <xf numFmtId="0" fontId="100" fillId="0" borderId="13" xfId="0" applyFont="1" applyBorder="1" applyAlignment="1">
      <alignment horizontal="center" vertical="top" wrapText="1"/>
    </xf>
    <xf numFmtId="0" fontId="100" fillId="0" borderId="31" xfId="0" applyFont="1" applyBorder="1" applyAlignment="1">
      <alignment vertical="top" wrapText="1"/>
    </xf>
    <xf numFmtId="49" fontId="100" fillId="0" borderId="34" xfId="0" applyNumberFormat="1" applyFont="1" applyBorder="1" applyAlignment="1">
      <alignment horizontal="center" wrapText="1"/>
    </xf>
    <xf numFmtId="0" fontId="100" fillId="0" borderId="35" xfId="0" applyFont="1" applyBorder="1" applyAlignment="1">
      <alignment horizontal="center" vertical="top" wrapText="1"/>
    </xf>
    <xf numFmtId="0" fontId="100" fillId="0" borderId="41" xfId="0" applyFont="1" applyBorder="1" applyAlignment="1">
      <alignment horizontal="center" vertical="top" wrapText="1"/>
    </xf>
    <xf numFmtId="0" fontId="100" fillId="0" borderId="43" xfId="0" applyFont="1" applyBorder="1" applyAlignment="1">
      <alignment horizontal="center" vertical="top" wrapText="1"/>
    </xf>
    <xf numFmtId="0" fontId="100" fillId="0" borderId="39" xfId="0" applyFont="1" applyBorder="1" applyAlignment="1">
      <alignment horizontal="center" vertical="top" wrapText="1"/>
    </xf>
    <xf numFmtId="0" fontId="100" fillId="0" borderId="33" xfId="0" applyFont="1" applyBorder="1" applyAlignment="1">
      <alignment horizontal="center" vertical="top" wrapText="1"/>
    </xf>
    <xf numFmtId="0" fontId="100" fillId="0" borderId="38" xfId="0" applyFont="1" applyBorder="1" applyAlignment="1">
      <alignment horizontal="center" vertical="top" wrapText="1"/>
    </xf>
    <xf numFmtId="0" fontId="112" fillId="0" borderId="0" xfId="0" applyFont="1" applyAlignment="1">
      <alignment horizontal="left" wrapText="1"/>
    </xf>
    <xf numFmtId="49" fontId="100" fillId="0" borderId="13" xfId="0" applyNumberFormat="1" applyFont="1" applyBorder="1" applyAlignment="1">
      <alignment horizontal="center" vertical="top" wrapText="1"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vertical="center" wrapText="1"/>
      <protection/>
    </xf>
    <xf numFmtId="0" fontId="100" fillId="0" borderId="0" xfId="606" applyFont="1" applyFill="1" applyBorder="1" applyAlignment="1">
      <alignment horizontal="center" vertical="center" wrapText="1"/>
      <protection/>
    </xf>
    <xf numFmtId="0" fontId="71" fillId="0" borderId="0" xfId="580" applyNumberFormat="1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top"/>
      <protection/>
    </xf>
    <xf numFmtId="0" fontId="67" fillId="0" borderId="30" xfId="580" applyNumberFormat="1" applyFont="1" applyFill="1" applyBorder="1" applyAlignment="1">
      <alignment horizontal="center" vertical="top" wrapText="1"/>
      <protection/>
    </xf>
    <xf numFmtId="0" fontId="67" fillId="0" borderId="32" xfId="580" applyNumberFormat="1" applyFont="1" applyFill="1" applyBorder="1" applyAlignment="1">
      <alignment horizontal="center" vertical="top" wrapText="1"/>
      <protection/>
    </xf>
    <xf numFmtId="0" fontId="67" fillId="0" borderId="31" xfId="580" applyNumberFormat="1" applyFont="1" applyFill="1" applyBorder="1" applyAlignment="1">
      <alignment horizontal="center" vertical="top" wrapText="1"/>
      <protection/>
    </xf>
    <xf numFmtId="0" fontId="67" fillId="0" borderId="36" xfId="580" applyNumberFormat="1" applyFont="1" applyFill="1" applyBorder="1" applyAlignment="1">
      <alignment horizontal="center" vertical="top" wrapText="1"/>
      <protection/>
    </xf>
    <xf numFmtId="0" fontId="67" fillId="0" borderId="42" xfId="580" applyNumberFormat="1" applyFont="1" applyFill="1" applyBorder="1" applyAlignment="1">
      <alignment horizontal="center" vertical="top" wrapText="1"/>
      <protection/>
    </xf>
    <xf numFmtId="0" fontId="67" fillId="0" borderId="34" xfId="580" applyNumberFormat="1" applyFont="1" applyFill="1" applyBorder="1" applyAlignment="1">
      <alignment horizontal="center" vertical="top" wrapText="1"/>
      <protection/>
    </xf>
    <xf numFmtId="0" fontId="67" fillId="0" borderId="30" xfId="580" applyNumberFormat="1" applyFont="1" applyFill="1" applyBorder="1" applyAlignment="1">
      <alignment horizontal="center" vertical="center" wrapText="1"/>
      <protection/>
    </xf>
    <xf numFmtId="0" fontId="67" fillId="0" borderId="32" xfId="580" applyNumberFormat="1" applyFont="1" applyFill="1" applyBorder="1" applyAlignment="1">
      <alignment horizontal="center" vertical="center" wrapText="1"/>
      <protection/>
    </xf>
    <xf numFmtId="0" fontId="67" fillId="0" borderId="31" xfId="580" applyNumberFormat="1" applyFont="1" applyFill="1" applyBorder="1" applyAlignment="1">
      <alignment horizontal="center" vertical="center" wrapText="1"/>
      <protection/>
    </xf>
    <xf numFmtId="0" fontId="67" fillId="0" borderId="13" xfId="580" applyFont="1" applyFill="1" applyBorder="1" applyAlignment="1">
      <alignment horizontal="center" vertic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67" fillId="0" borderId="42" xfId="580" applyNumberFormat="1" applyFont="1" applyFill="1" applyBorder="1" applyAlignment="1">
      <alignment horizontal="center" vertical="center" wrapText="1"/>
      <protection/>
    </xf>
    <xf numFmtId="0" fontId="102" fillId="0" borderId="36" xfId="606" applyFont="1" applyFill="1" applyBorder="1" applyAlignment="1">
      <alignment horizontal="left" vertical="top" wrapText="1"/>
      <protection/>
    </xf>
    <xf numFmtId="0" fontId="102" fillId="0" borderId="34" xfId="606" applyFont="1" applyFill="1" applyBorder="1" applyAlignment="1">
      <alignment horizontal="left" vertical="top" wrapText="1"/>
      <protection/>
    </xf>
    <xf numFmtId="0" fontId="100" fillId="0" borderId="0" xfId="606" applyFont="1" applyFill="1" applyBorder="1" applyAlignment="1">
      <alignment horizontal="justify" vertical="top" wrapText="1"/>
      <protection/>
    </xf>
    <xf numFmtId="0" fontId="100" fillId="0" borderId="0" xfId="606" applyFont="1" applyFill="1" applyBorder="1" applyAlignment="1">
      <alignment horizontal="left" vertical="top" wrapText="1"/>
      <protection/>
    </xf>
    <xf numFmtId="0" fontId="71" fillId="0" borderId="0" xfId="580" applyFont="1" applyFill="1" applyAlignment="1">
      <alignment horizontal="left" wrapText="1"/>
      <protection/>
    </xf>
    <xf numFmtId="0" fontId="69" fillId="0" borderId="30" xfId="580" applyFont="1" applyFill="1" applyBorder="1" applyAlignment="1">
      <alignment horizontal="center" vertical="top"/>
      <protection/>
    </xf>
    <xf numFmtId="0" fontId="69" fillId="0" borderId="31" xfId="580" applyFont="1" applyFill="1" applyBorder="1" applyAlignment="1">
      <alignment horizontal="center" vertical="top"/>
      <protection/>
    </xf>
    <xf numFmtId="0" fontId="69" fillId="0" borderId="30" xfId="580" applyFont="1" applyFill="1" applyBorder="1" applyAlignment="1">
      <alignment horizontal="center" vertical="top" wrapText="1"/>
      <protection/>
    </xf>
    <xf numFmtId="0" fontId="69" fillId="0" borderId="31" xfId="580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69" fillId="0" borderId="42" xfId="580" applyFont="1" applyFill="1" applyBorder="1" applyAlignment="1">
      <alignment horizontal="center" vertical="top" wrapText="1"/>
      <protection/>
    </xf>
    <xf numFmtId="0" fontId="69" fillId="0" borderId="34" xfId="580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left"/>
      <protection/>
    </xf>
    <xf numFmtId="0" fontId="69" fillId="0" borderId="34" xfId="580" applyFont="1" applyFill="1" applyBorder="1" applyAlignment="1">
      <alignment horizontal="left"/>
      <protection/>
    </xf>
    <xf numFmtId="0" fontId="71" fillId="0" borderId="0" xfId="580" applyFont="1" applyFill="1" applyAlignment="1">
      <alignment horizontal="left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0" fontId="71" fillId="0" borderId="0" xfId="580" applyFont="1" applyFill="1" applyAlignment="1">
      <alignment horizontal="left" vertical="top" wrapText="1"/>
      <protection/>
    </xf>
    <xf numFmtId="0" fontId="69" fillId="0" borderId="35" xfId="580" applyFont="1" applyFill="1" applyBorder="1" applyAlignment="1">
      <alignment horizontal="center" vertical="top"/>
      <protection/>
    </xf>
    <xf numFmtId="0" fontId="69" fillId="0" borderId="39" xfId="580" applyFont="1" applyFill="1" applyBorder="1" applyAlignment="1">
      <alignment horizontal="center" vertical="top"/>
      <protection/>
    </xf>
    <xf numFmtId="0" fontId="69" fillId="0" borderId="13" xfId="580" applyFont="1" applyFill="1" applyBorder="1" applyAlignment="1">
      <alignment horizontal="center" wrapText="1"/>
      <protection/>
    </xf>
    <xf numFmtId="0" fontId="67" fillId="0" borderId="36" xfId="580" applyFont="1" applyFill="1" applyBorder="1" applyAlignment="1">
      <alignment horizontal="left" vertical="center" wrapText="1"/>
      <protection/>
    </xf>
    <xf numFmtId="0" fontId="67" fillId="0" borderId="42" xfId="580" applyFont="1" applyFill="1" applyBorder="1" applyAlignment="1">
      <alignment horizontal="left" vertical="center" wrapText="1"/>
      <protection/>
    </xf>
    <xf numFmtId="0" fontId="67" fillId="0" borderId="34" xfId="580" applyFont="1" applyFill="1" applyBorder="1" applyAlignment="1">
      <alignment horizontal="left" vertical="center" wrapText="1"/>
      <protection/>
    </xf>
    <xf numFmtId="0" fontId="67" fillId="0" borderId="36" xfId="580" applyFont="1" applyFill="1" applyBorder="1" applyAlignment="1">
      <alignment horizontal="left" vertical="top" wrapText="1"/>
      <protection/>
    </xf>
    <xf numFmtId="0" fontId="67" fillId="0" borderId="42" xfId="580" applyFont="1" applyFill="1" applyBorder="1" applyAlignment="1">
      <alignment horizontal="left" vertical="top" wrapText="1"/>
      <protection/>
    </xf>
    <xf numFmtId="0" fontId="67" fillId="0" borderId="34" xfId="580" applyFont="1" applyFill="1" applyBorder="1" applyAlignment="1">
      <alignment horizontal="left" vertical="top" wrapText="1"/>
      <protection/>
    </xf>
    <xf numFmtId="0" fontId="69" fillId="0" borderId="13" xfId="580" applyFont="1" applyFill="1" applyBorder="1" applyAlignment="1">
      <alignment horizontal="left"/>
      <protection/>
    </xf>
    <xf numFmtId="0" fontId="69" fillId="0" borderId="0" xfId="580" applyFont="1" applyFill="1" applyAlignment="1">
      <alignment horizontal="justify" wrapText="1"/>
      <protection/>
    </xf>
    <xf numFmtId="0" fontId="69" fillId="0" borderId="0" xfId="580" applyNumberFormat="1" applyFont="1" applyFill="1" applyBorder="1" applyAlignment="1">
      <alignment horizontal="left" wrapText="1"/>
      <protection/>
    </xf>
    <xf numFmtId="0" fontId="71" fillId="0" borderId="0" xfId="580" applyFont="1" applyFill="1" applyAlignment="1">
      <alignment horizontal="center"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left" vertical="center" wrapText="1"/>
      <protection/>
    </xf>
    <xf numFmtId="49" fontId="71" fillId="0" borderId="36" xfId="580" applyNumberFormat="1" applyFont="1" applyFill="1" applyBorder="1" applyAlignment="1">
      <alignment horizontal="center" vertical="center"/>
      <protection/>
    </xf>
    <xf numFmtId="49" fontId="71" fillId="0" borderId="42" xfId="580" applyNumberFormat="1" applyFont="1" applyFill="1" applyBorder="1" applyAlignment="1">
      <alignment horizontal="center" vertical="center"/>
      <protection/>
    </xf>
    <xf numFmtId="49" fontId="71" fillId="0" borderId="34" xfId="580" applyNumberFormat="1" applyFont="1" applyFill="1" applyBorder="1" applyAlignment="1">
      <alignment horizontal="center" vertical="center"/>
      <protection/>
    </xf>
    <xf numFmtId="0" fontId="69" fillId="0" borderId="0" xfId="580" applyFont="1" applyFill="1" applyAlignment="1">
      <alignment horizontal="justify" vertical="center" wrapText="1"/>
      <protection/>
    </xf>
    <xf numFmtId="0" fontId="69" fillId="0" borderId="36" xfId="580" applyFont="1" applyFill="1" applyBorder="1" applyAlignment="1">
      <alignment horizontal="center" vertical="center" wrapText="1"/>
      <protection/>
    </xf>
    <xf numFmtId="0" fontId="69" fillId="0" borderId="42" xfId="580" applyFont="1" applyFill="1" applyBorder="1" applyAlignment="1">
      <alignment horizontal="center" vertical="center" wrapText="1"/>
      <protection/>
    </xf>
    <xf numFmtId="0" fontId="69" fillId="0" borderId="34" xfId="580" applyFont="1" applyFill="1" applyBorder="1" applyAlignment="1">
      <alignment horizontal="center" vertical="center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horizontal="left" vertical="top"/>
      <protection/>
    </xf>
    <xf numFmtId="2" fontId="69" fillId="0" borderId="13" xfId="580" applyNumberFormat="1" applyFont="1" applyFill="1" applyBorder="1" applyAlignment="1">
      <alignment horizontal="left" vertical="top" wrapText="1"/>
      <protection/>
    </xf>
    <xf numFmtId="49" fontId="69" fillId="0" borderId="36" xfId="580" applyNumberFormat="1" applyFont="1" applyFill="1" applyBorder="1" applyAlignment="1">
      <alignment horizontal="left"/>
      <protection/>
    </xf>
    <xf numFmtId="49" fontId="69" fillId="0" borderId="42" xfId="580" applyNumberFormat="1" applyFont="1" applyFill="1" applyBorder="1" applyAlignment="1">
      <alignment horizontal="left"/>
      <protection/>
    </xf>
    <xf numFmtId="49" fontId="69" fillId="0" borderId="34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justify" vertical="center" wrapText="1"/>
      <protection/>
    </xf>
    <xf numFmtId="0" fontId="71" fillId="0" borderId="0" xfId="580" applyFont="1" applyFill="1" applyBorder="1" applyAlignment="1">
      <alignment horizontal="center"/>
      <protection/>
    </xf>
    <xf numFmtId="0" fontId="71" fillId="0" borderId="0" xfId="580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42" xfId="580" applyFont="1" applyFill="1" applyBorder="1" applyAlignment="1">
      <alignment horizontal="center"/>
      <protection/>
    </xf>
    <xf numFmtId="0" fontId="69" fillId="0" borderId="34" xfId="580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justify" vertical="center" wrapText="1"/>
      <protection/>
    </xf>
    <xf numFmtId="0" fontId="71" fillId="0" borderId="0" xfId="580" applyFont="1" applyFill="1" applyAlignment="1">
      <alignment horizontal="center" wrapText="1"/>
      <protection/>
    </xf>
    <xf numFmtId="49" fontId="67" fillId="0" borderId="36" xfId="580" applyNumberFormat="1" applyFont="1" applyFill="1" applyBorder="1" applyAlignment="1">
      <alignment horizontal="left" vertical="center"/>
      <protection/>
    </xf>
    <xf numFmtId="49" fontId="67" fillId="0" borderId="34" xfId="580" applyNumberFormat="1" applyFont="1" applyFill="1" applyBorder="1" applyAlignment="1">
      <alignment horizontal="left" vertical="center"/>
      <protection/>
    </xf>
    <xf numFmtId="0" fontId="69" fillId="0" borderId="0" xfId="580" applyFont="1" applyFill="1" applyBorder="1" applyAlignment="1">
      <alignment horizontal="justify" vertical="center"/>
      <protection/>
    </xf>
    <xf numFmtId="49" fontId="71" fillId="0" borderId="36" xfId="580" applyNumberFormat="1" applyFont="1" applyFill="1" applyBorder="1" applyAlignment="1">
      <alignment horizontal="left"/>
      <protection/>
    </xf>
    <xf numFmtId="49" fontId="71" fillId="0" borderId="34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justify" wrapText="1"/>
      <protection/>
    </xf>
    <xf numFmtId="0" fontId="69" fillId="0" borderId="43" xfId="580" applyFont="1" applyFill="1" applyBorder="1" applyAlignment="1">
      <alignment horizontal="center" vertical="top"/>
      <protection/>
    </xf>
    <xf numFmtId="0" fontId="69" fillId="0" borderId="38" xfId="580" applyFont="1" applyFill="1" applyBorder="1" applyAlignment="1">
      <alignment horizontal="center" vertical="top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34" xfId="580" applyFont="1" applyFill="1" applyBorder="1" applyAlignment="1">
      <alignment horizontal="center" vertical="center"/>
      <protection/>
    </xf>
    <xf numFmtId="0" fontId="69" fillId="0" borderId="36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42" xfId="580" applyFont="1" applyFill="1" applyBorder="1" applyAlignment="1">
      <alignment horizontal="left"/>
      <protection/>
    </xf>
    <xf numFmtId="0" fontId="69" fillId="0" borderId="36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71" fillId="0" borderId="36" xfId="580" applyFont="1" applyFill="1" applyBorder="1" applyAlignment="1">
      <alignment horizontal="left"/>
      <protection/>
    </xf>
    <xf numFmtId="0" fontId="71" fillId="0" borderId="42" xfId="580" applyFont="1" applyFill="1" applyBorder="1" applyAlignment="1">
      <alignment horizontal="left"/>
      <protection/>
    </xf>
    <xf numFmtId="0" fontId="71" fillId="0" borderId="34" xfId="580" applyFont="1" applyFill="1" applyBorder="1" applyAlignment="1">
      <alignment horizontal="left"/>
      <protection/>
    </xf>
    <xf numFmtId="0" fontId="71" fillId="0" borderId="36" xfId="580" applyFont="1" applyBorder="1" applyAlignment="1">
      <alignment horizontal="left" vertical="center"/>
      <protection/>
    </xf>
    <xf numFmtId="0" fontId="71" fillId="0" borderId="42" xfId="580" applyFont="1" applyBorder="1" applyAlignment="1">
      <alignment horizontal="left" vertical="center"/>
      <protection/>
    </xf>
    <xf numFmtId="0" fontId="71" fillId="0" borderId="34" xfId="580" applyFont="1" applyBorder="1" applyAlignment="1">
      <alignment horizontal="left" vertical="center"/>
      <protection/>
    </xf>
    <xf numFmtId="0" fontId="100" fillId="0" borderId="0" xfId="580" applyFont="1" applyFill="1" applyBorder="1" applyAlignment="1">
      <alignment horizontal="center" vertical="center"/>
      <protection/>
    </xf>
    <xf numFmtId="0" fontId="69" fillId="0" borderId="13" xfId="580" applyFont="1" applyBorder="1" applyAlignment="1">
      <alignment horizontal="center" vertical="top"/>
      <protection/>
    </xf>
    <xf numFmtId="0" fontId="71" fillId="0" borderId="13" xfId="580" applyFont="1" applyBorder="1" applyAlignment="1">
      <alignment horizontal="left" vertical="center"/>
      <protection/>
    </xf>
    <xf numFmtId="0" fontId="67" fillId="0" borderId="34" xfId="580" applyNumberFormat="1" applyFont="1" applyFill="1" applyBorder="1" applyAlignment="1">
      <alignment horizontal="center" vertical="center" wrapText="1"/>
      <protection/>
    </xf>
    <xf numFmtId="49" fontId="71" fillId="0" borderId="36" xfId="580" applyNumberFormat="1" applyFont="1" applyFill="1" applyBorder="1" applyAlignment="1">
      <alignment horizontal="left" vertical="center"/>
      <protection/>
    </xf>
    <xf numFmtId="49" fontId="71" fillId="0" borderId="42" xfId="580" applyNumberFormat="1" applyFont="1" applyFill="1" applyBorder="1" applyAlignment="1">
      <alignment horizontal="left" vertical="center"/>
      <protection/>
    </xf>
    <xf numFmtId="49" fontId="71" fillId="0" borderId="34" xfId="580" applyNumberFormat="1" applyFont="1" applyFill="1" applyBorder="1" applyAlignment="1">
      <alignment horizontal="left" vertical="center"/>
      <protection/>
    </xf>
    <xf numFmtId="49" fontId="69" fillId="0" borderId="36" xfId="580" applyNumberFormat="1" applyFont="1" applyFill="1" applyBorder="1" applyAlignment="1">
      <alignment horizontal="left" vertical="center"/>
      <protection/>
    </xf>
    <xf numFmtId="49" fontId="69" fillId="0" borderId="34" xfId="580" applyNumberFormat="1" applyFont="1" applyFill="1" applyBorder="1" applyAlignment="1">
      <alignment horizontal="left" vertical="center"/>
      <protection/>
    </xf>
    <xf numFmtId="49" fontId="69" fillId="0" borderId="42" xfId="580" applyNumberFormat="1" applyFont="1" applyFill="1" applyBorder="1" applyAlignment="1">
      <alignment horizontal="left" vertical="center"/>
      <protection/>
    </xf>
    <xf numFmtId="0" fontId="69" fillId="0" borderId="13" xfId="58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69" fillId="0" borderId="36" xfId="580" applyFont="1" applyFill="1" applyBorder="1" applyAlignment="1">
      <alignment horizontal="left" vertical="top"/>
      <protection/>
    </xf>
    <xf numFmtId="0" fontId="69" fillId="0" borderId="34" xfId="580" applyFont="1" applyFill="1" applyBorder="1" applyAlignment="1">
      <alignment horizontal="left" vertical="top"/>
      <protection/>
    </xf>
    <xf numFmtId="49" fontId="70" fillId="0" borderId="36" xfId="580" applyNumberFormat="1" applyFont="1" applyFill="1" applyBorder="1" applyAlignment="1">
      <alignment horizontal="left" vertical="center"/>
      <protection/>
    </xf>
    <xf numFmtId="49" fontId="70" fillId="0" borderId="34" xfId="580" applyNumberFormat="1" applyFont="1" applyFill="1" applyBorder="1" applyAlignment="1">
      <alignment horizontal="left" vertical="center"/>
      <protection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vertical="center"/>
    </xf>
  </cellXfs>
  <cellStyles count="12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3" xfId="28"/>
    <cellStyle name="20% - Акцент1 3 2" xfId="29"/>
    <cellStyle name="20% — акцент2" xfId="30"/>
    <cellStyle name="20% - Акцент2 2" xfId="31"/>
    <cellStyle name="20% - Акцент2 2 2" xfId="32"/>
    <cellStyle name="20% - Акцент2 2 2 2" xfId="33"/>
    <cellStyle name="20% - Акцент2 2 3" xfId="34"/>
    <cellStyle name="20% - Акцент2 2 3 2" xfId="35"/>
    <cellStyle name="20% - Акцент2 2 4" xfId="36"/>
    <cellStyle name="20% - Акцент2 3" xfId="37"/>
    <cellStyle name="20% - Акцент2 3 2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3" xfId="46"/>
    <cellStyle name="20% - Акцент3 3 2" xfId="47"/>
    <cellStyle name="20% — акцент4" xfId="48"/>
    <cellStyle name="20% - Акцент4 2" xfId="49"/>
    <cellStyle name="20% - Акцент4 2 2" xfId="50"/>
    <cellStyle name="20% - Акцент4 2 2 2" xfId="51"/>
    <cellStyle name="20% - Акцент4 2 3" xfId="52"/>
    <cellStyle name="20% - Акцент4 2 3 2" xfId="53"/>
    <cellStyle name="20% - Акцент4 2 4" xfId="54"/>
    <cellStyle name="20% - Акцент4 3" xfId="55"/>
    <cellStyle name="20% - Акцент4 3 2" xfId="56"/>
    <cellStyle name="20% — акцент5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3 2" xfId="62"/>
    <cellStyle name="20% - Акцент5 2 4" xfId="63"/>
    <cellStyle name="20% - Акцент5 3" xfId="64"/>
    <cellStyle name="20% - Акцент5 3 2" xfId="65"/>
    <cellStyle name="20% — акцент6" xfId="66"/>
    <cellStyle name="20% - Акцент6 2" xfId="67"/>
    <cellStyle name="20% - Акцент6 2 2" xfId="68"/>
    <cellStyle name="20% - Акцент6 2 2 2" xfId="69"/>
    <cellStyle name="20% - Акцент6 2 3" xfId="70"/>
    <cellStyle name="20% - Акцент6 2 3 2" xfId="71"/>
    <cellStyle name="20% - Акцент6 2 4" xfId="72"/>
    <cellStyle name="20% - Акцент6 3" xfId="73"/>
    <cellStyle name="20% - Акцент6 3 2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3 2" xfId="86"/>
    <cellStyle name="40% - Акцент1 2 4" xfId="87"/>
    <cellStyle name="40% - Акцент1 3" xfId="88"/>
    <cellStyle name="40% - Акцент1 3 2" xfId="89"/>
    <cellStyle name="40% — акцент2" xfId="90"/>
    <cellStyle name="40% - Акцент2 2" xfId="91"/>
    <cellStyle name="40% - Акцент2 2 2" xfId="92"/>
    <cellStyle name="40% - Акцент2 2 2 2" xfId="93"/>
    <cellStyle name="40% - Акцент2 2 3" xfId="94"/>
    <cellStyle name="40% - Акцент2 2 3 2" xfId="95"/>
    <cellStyle name="40% - Акцент2 2 4" xfId="96"/>
    <cellStyle name="40% - Акцент2 3" xfId="97"/>
    <cellStyle name="40% - Акцент2 3 2" xfId="98"/>
    <cellStyle name="40% — акцент3" xfId="99"/>
    <cellStyle name="40% - Акцент3 2" xfId="100"/>
    <cellStyle name="40% - Акцент3 2 2" xfId="101"/>
    <cellStyle name="40% - Акцент3 2 2 2" xfId="102"/>
    <cellStyle name="40% - Акцент3 2 3" xfId="103"/>
    <cellStyle name="40% - Акцент3 2 3 2" xfId="104"/>
    <cellStyle name="40% - Акцент3 2 4" xfId="105"/>
    <cellStyle name="40% - Акцент3 3" xfId="106"/>
    <cellStyle name="40% - Акцент3 3 2" xfId="107"/>
    <cellStyle name="40% — акцент4" xfId="108"/>
    <cellStyle name="40% - Акцент4 2" xfId="109"/>
    <cellStyle name="40% - Акцент4 2 2" xfId="110"/>
    <cellStyle name="40% - Акцент4 2 2 2" xfId="111"/>
    <cellStyle name="40% - Акцент4 2 3" xfId="112"/>
    <cellStyle name="40% - Акцент4 2 3 2" xfId="113"/>
    <cellStyle name="40% - Акцент4 2 4" xfId="114"/>
    <cellStyle name="40% - Акцент4 3" xfId="115"/>
    <cellStyle name="40% - Акцент4 3 2" xfId="116"/>
    <cellStyle name="40% — акцент5" xfId="117"/>
    <cellStyle name="40% - Акцент5 2" xfId="118"/>
    <cellStyle name="40% - Акцент5 2 2" xfId="119"/>
    <cellStyle name="40% - Акцент5 2 2 2" xfId="120"/>
    <cellStyle name="40% - Акцент5 2 3" xfId="121"/>
    <cellStyle name="40% - Акцент5 2 3 2" xfId="122"/>
    <cellStyle name="40% - Акцент5 2 4" xfId="123"/>
    <cellStyle name="40% - Акцент5 3" xfId="124"/>
    <cellStyle name="40% - Акцент5 3 2" xfId="125"/>
    <cellStyle name="40% — акцент6" xfId="126"/>
    <cellStyle name="40% - Акцент6 2" xfId="127"/>
    <cellStyle name="40% - Акцент6 2 2" xfId="128"/>
    <cellStyle name="40% - Акцент6 2 2 2" xfId="129"/>
    <cellStyle name="40% - Акцент6 2 3" xfId="130"/>
    <cellStyle name="40% - Акцент6 2 3 2" xfId="131"/>
    <cellStyle name="40% - Акцент6 2 4" xfId="132"/>
    <cellStyle name="40% - Акцент6 3" xfId="133"/>
    <cellStyle name="40% - Акцент6 3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- Акцент1 2 2" xfId="143"/>
    <cellStyle name="60% - Акцент1 2 2 2" xfId="144"/>
    <cellStyle name="60% - Акцент1 2 3" xfId="145"/>
    <cellStyle name="60% - Акцент1 2 3 2" xfId="146"/>
    <cellStyle name="60% - Акцент1 2 4" xfId="147"/>
    <cellStyle name="60% - Акцент1 3" xfId="148"/>
    <cellStyle name="60% - Акцент1 3 2" xfId="149"/>
    <cellStyle name="60% — акцент2" xfId="150"/>
    <cellStyle name="60% - Акцент2 2" xfId="151"/>
    <cellStyle name="60% - Акцент2 2 2" xfId="152"/>
    <cellStyle name="60% - Акцент2 2 2 2" xfId="153"/>
    <cellStyle name="60% - Акцент2 2 3" xfId="154"/>
    <cellStyle name="60% - Акцент2 2 3 2" xfId="155"/>
    <cellStyle name="60% - Акцент2 2 4" xfId="156"/>
    <cellStyle name="60% - Акцент2 3" xfId="157"/>
    <cellStyle name="60% - Акцент2 3 2" xfId="158"/>
    <cellStyle name="60% — акцент3" xfId="159"/>
    <cellStyle name="60% - Акцент3 2" xfId="160"/>
    <cellStyle name="60% - Акцент3 2 2" xfId="161"/>
    <cellStyle name="60% - Акцент3 2 2 2" xfId="162"/>
    <cellStyle name="60% - Акцент3 2 3" xfId="163"/>
    <cellStyle name="60% - Акцент3 2 3 2" xfId="164"/>
    <cellStyle name="60% - Акцент3 2 4" xfId="165"/>
    <cellStyle name="60% - Акцент3 3" xfId="166"/>
    <cellStyle name="60% - Акцент3 3 2" xfId="167"/>
    <cellStyle name="60% — акцент4" xfId="168"/>
    <cellStyle name="60% - Акцент4 2" xfId="169"/>
    <cellStyle name="60% - Акцент4 2 2" xfId="170"/>
    <cellStyle name="60% - Акцент4 2 2 2" xfId="171"/>
    <cellStyle name="60% - Акцент4 2 3" xfId="172"/>
    <cellStyle name="60% - Акцент4 2 3 2" xfId="173"/>
    <cellStyle name="60% - Акцент4 2 4" xfId="174"/>
    <cellStyle name="60% - Акцент4 3" xfId="175"/>
    <cellStyle name="60% - Акцент4 3 2" xfId="176"/>
    <cellStyle name="60% — акцент5" xfId="177"/>
    <cellStyle name="60% - Акцент5 2" xfId="178"/>
    <cellStyle name="60% - Акцент5 2 2" xfId="179"/>
    <cellStyle name="60% - Акцент5 2 2 2" xfId="180"/>
    <cellStyle name="60% - Акцент5 2 3" xfId="181"/>
    <cellStyle name="60% - Акцент5 2 3 2" xfId="182"/>
    <cellStyle name="60% - Акцент5 2 4" xfId="183"/>
    <cellStyle name="60% - Акцент5 3" xfId="184"/>
    <cellStyle name="60% - Акцент5 3 2" xfId="185"/>
    <cellStyle name="60% — акцент6" xfId="186"/>
    <cellStyle name="60% - Акцент6 2" xfId="187"/>
    <cellStyle name="60% - Акцент6 2 2" xfId="188"/>
    <cellStyle name="60% - Акцент6 2 2 2" xfId="189"/>
    <cellStyle name="60% - Акцент6 2 3" xfId="190"/>
    <cellStyle name="60% - Акцент6 2 3 2" xfId="191"/>
    <cellStyle name="60% - Акцент6 2 4" xfId="192"/>
    <cellStyle name="60% - Акцент6 3" xfId="193"/>
    <cellStyle name="60% - Акцент6 3 2" xfId="194"/>
    <cellStyle name="Accent1" xfId="195"/>
    <cellStyle name="Accent1 - 20%" xfId="196"/>
    <cellStyle name="Accent1 - 20% 2" xfId="197"/>
    <cellStyle name="Accent1 - 40%" xfId="198"/>
    <cellStyle name="Accent1 - 40% 2" xfId="199"/>
    <cellStyle name="Accent1 - 60%" xfId="200"/>
    <cellStyle name="Accent1 - 60% 2" xfId="201"/>
    <cellStyle name="Accent2" xfId="202"/>
    <cellStyle name="Accent2 - 20%" xfId="203"/>
    <cellStyle name="Accent2 - 20% 2" xfId="204"/>
    <cellStyle name="Accent2 - 40%" xfId="205"/>
    <cellStyle name="Accent2 - 40% 2" xfId="206"/>
    <cellStyle name="Accent2 - 60%" xfId="207"/>
    <cellStyle name="Accent2 - 60% 2" xfId="208"/>
    <cellStyle name="Accent3" xfId="209"/>
    <cellStyle name="Accent3 - 20%" xfId="210"/>
    <cellStyle name="Accent3 - 20% 2" xfId="211"/>
    <cellStyle name="Accent3 - 40%" xfId="212"/>
    <cellStyle name="Accent3 - 40% 2" xfId="213"/>
    <cellStyle name="Accent3 - 60%" xfId="214"/>
    <cellStyle name="Accent3 - 60% 2" xfId="215"/>
    <cellStyle name="Accent3_Многодетные " xfId="216"/>
    <cellStyle name="Accent4" xfId="217"/>
    <cellStyle name="Accent4 - 20%" xfId="218"/>
    <cellStyle name="Accent4 - 20% 2" xfId="219"/>
    <cellStyle name="Accent4 - 40%" xfId="220"/>
    <cellStyle name="Accent4 - 40% 2" xfId="221"/>
    <cellStyle name="Accent4 - 60%" xfId="222"/>
    <cellStyle name="Accent4 - 60% 2" xfId="223"/>
    <cellStyle name="Accent4_Многодетные " xfId="224"/>
    <cellStyle name="Accent5" xfId="225"/>
    <cellStyle name="Accent5 - 20%" xfId="226"/>
    <cellStyle name="Accent5 - 20% 2" xfId="227"/>
    <cellStyle name="Accent5 - 40%" xfId="228"/>
    <cellStyle name="Accent5 - 60%" xfId="229"/>
    <cellStyle name="Accent5 - 60% 2" xfId="230"/>
    <cellStyle name="Accent5_Многодетные " xfId="231"/>
    <cellStyle name="Accent6" xfId="232"/>
    <cellStyle name="Accent6 - 20%" xfId="233"/>
    <cellStyle name="Accent6 - 40%" xfId="234"/>
    <cellStyle name="Accent6 - 40% 2" xfId="235"/>
    <cellStyle name="Accent6 - 60%" xfId="236"/>
    <cellStyle name="Accent6 - 60% 2" xfId="237"/>
    <cellStyle name="Accent6_Многодетные " xfId="238"/>
    <cellStyle name="Bad" xfId="239"/>
    <cellStyle name="Calculation" xfId="240"/>
    <cellStyle name="Check Cell" xfId="241"/>
    <cellStyle name="Emphasis 1" xfId="242"/>
    <cellStyle name="Emphasis 1 2" xfId="243"/>
    <cellStyle name="Emphasis 2" xfId="244"/>
    <cellStyle name="Emphasis 2 2" xfId="245"/>
    <cellStyle name="Emphasis 3" xfId="246"/>
    <cellStyle name="Excel Built-in Normal" xfId="247"/>
    <cellStyle name="Excel Built-in Normal 2" xfId="248"/>
    <cellStyle name="Explanatory Text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Linked Cell" xfId="256"/>
    <cellStyle name="Neutral" xfId="257"/>
    <cellStyle name="Normal_TMP_1" xfId="258"/>
    <cellStyle name="Note" xfId="259"/>
    <cellStyle name="Output" xfId="260"/>
    <cellStyle name="SAPBEXaggData" xfId="261"/>
    <cellStyle name="SAPBEXaggData 2" xfId="262"/>
    <cellStyle name="SAPBEXaggDataEmph" xfId="263"/>
    <cellStyle name="SAPBEXaggDataEmph 2" xfId="264"/>
    <cellStyle name="SAPBEXaggItem" xfId="265"/>
    <cellStyle name="SAPBEXaggItem 2" xfId="266"/>
    <cellStyle name="SAPBEXaggItemX" xfId="267"/>
    <cellStyle name="SAPBEXaggItemX 2" xfId="268"/>
    <cellStyle name="SAPBEXchaText" xfId="269"/>
    <cellStyle name="SAPBEXchaText 2" xfId="270"/>
    <cellStyle name="SAPBEXexcBad7" xfId="271"/>
    <cellStyle name="SAPBEXexcBad7 2" xfId="272"/>
    <cellStyle name="SAPBEXexcBad8" xfId="273"/>
    <cellStyle name="SAPBEXexcBad8 2" xfId="274"/>
    <cellStyle name="SAPBEXexcBad9" xfId="275"/>
    <cellStyle name="SAPBEXexcBad9 2" xfId="276"/>
    <cellStyle name="SAPBEXexcCritical4" xfId="277"/>
    <cellStyle name="SAPBEXexcCritical4 2" xfId="278"/>
    <cellStyle name="SAPBEXexcCritical5" xfId="279"/>
    <cellStyle name="SAPBEXexcCritical5 2" xfId="280"/>
    <cellStyle name="SAPBEXexcCritical6" xfId="281"/>
    <cellStyle name="SAPBEXexcCritical6 2" xfId="282"/>
    <cellStyle name="SAPBEXexcGood1" xfId="283"/>
    <cellStyle name="SAPBEXexcGood1 2" xfId="284"/>
    <cellStyle name="SAPBEXexcGood2" xfId="285"/>
    <cellStyle name="SAPBEXexcGood2 2" xfId="286"/>
    <cellStyle name="SAPBEXexcGood3" xfId="287"/>
    <cellStyle name="SAPBEXexcGood3 2" xfId="288"/>
    <cellStyle name="SAPBEXfilterDrill" xfId="289"/>
    <cellStyle name="SAPBEXfilterDrill 2" xfId="290"/>
    <cellStyle name="SAPBEXfilterItem" xfId="291"/>
    <cellStyle name="SAPBEXfilterItem 2" xfId="292"/>
    <cellStyle name="SAPBEXfilterText" xfId="293"/>
    <cellStyle name="SAPBEXfilterText 2" xfId="294"/>
    <cellStyle name="SAPBEXformats" xfId="295"/>
    <cellStyle name="SAPBEXformats 2" xfId="296"/>
    <cellStyle name="SAPBEXheaderItem" xfId="297"/>
    <cellStyle name="SAPBEXheaderItem 2" xfId="298"/>
    <cellStyle name="SAPBEXheaderText" xfId="299"/>
    <cellStyle name="SAPBEXheaderText 2" xfId="300"/>
    <cellStyle name="SAPBEXHLevel0" xfId="301"/>
    <cellStyle name="SAPBEXHLevel0 2" xfId="302"/>
    <cellStyle name="SAPBEXHLevel0X" xfId="303"/>
    <cellStyle name="SAPBEXHLevel0X 2" xfId="304"/>
    <cellStyle name="SAPBEXHLevel0X 3" xfId="305"/>
    <cellStyle name="SAPBEXHLevel1" xfId="306"/>
    <cellStyle name="SAPBEXHLevel1 2" xfId="307"/>
    <cellStyle name="SAPBEXHLevel1X" xfId="308"/>
    <cellStyle name="SAPBEXHLevel1X 2" xfId="309"/>
    <cellStyle name="SAPBEXHLevel1X 3" xfId="310"/>
    <cellStyle name="SAPBEXHLevel2" xfId="311"/>
    <cellStyle name="SAPBEXHLevel2 2" xfId="312"/>
    <cellStyle name="SAPBEXHLevel2X" xfId="313"/>
    <cellStyle name="SAPBEXHLevel2X 2" xfId="314"/>
    <cellStyle name="SAPBEXHLevel2X 3" xfId="315"/>
    <cellStyle name="SAPBEXHLevel3" xfId="316"/>
    <cellStyle name="SAPBEXHLevel3 2" xfId="317"/>
    <cellStyle name="SAPBEXHLevel3X" xfId="318"/>
    <cellStyle name="SAPBEXHLevel3X 2" xfId="319"/>
    <cellStyle name="SAPBEXHLevel3X 3" xfId="320"/>
    <cellStyle name="SAPBEXinputData" xfId="321"/>
    <cellStyle name="SAPBEXinputData 2" xfId="322"/>
    <cellStyle name="SAPBEXinputData 3" xfId="323"/>
    <cellStyle name="SAPBEXItemHeader" xfId="324"/>
    <cellStyle name="SAPBEXresData" xfId="325"/>
    <cellStyle name="SAPBEXresData 2" xfId="326"/>
    <cellStyle name="SAPBEXresDataEmph" xfId="327"/>
    <cellStyle name="SAPBEXresDataEmph 2" xfId="328"/>
    <cellStyle name="SAPBEXresItem" xfId="329"/>
    <cellStyle name="SAPBEXresItem 2" xfId="330"/>
    <cellStyle name="SAPBEXresItemX" xfId="331"/>
    <cellStyle name="SAPBEXresItemX 2" xfId="332"/>
    <cellStyle name="SAPBEXstdData" xfId="333"/>
    <cellStyle name="SAPBEXstdData 2" xfId="334"/>
    <cellStyle name="SAPBEXstdData 2 2" xfId="335"/>
    <cellStyle name="SAPBEXstdDataEmph" xfId="336"/>
    <cellStyle name="SAPBEXstdDataEmph 2" xfId="337"/>
    <cellStyle name="SAPBEXstdItem" xfId="338"/>
    <cellStyle name="SAPBEXstdItem 2" xfId="339"/>
    <cellStyle name="SAPBEXstdItem 3" xfId="340"/>
    <cellStyle name="SAPBEXstdItem 4" xfId="341"/>
    <cellStyle name="SAPBEXstdItemX" xfId="342"/>
    <cellStyle name="SAPBEXstdItemX 2" xfId="343"/>
    <cellStyle name="SAPBEXtitle" xfId="344"/>
    <cellStyle name="SAPBEXtitle 2" xfId="345"/>
    <cellStyle name="SAPBEXunassignedItem" xfId="346"/>
    <cellStyle name="SAPBEXundefined" xfId="347"/>
    <cellStyle name="SAPBEXundefined 2" xfId="348"/>
    <cellStyle name="Sheet Title" xfId="349"/>
    <cellStyle name="Title" xfId="350"/>
    <cellStyle name="Total" xfId="351"/>
    <cellStyle name="Warning Text" xfId="352"/>
    <cellStyle name="Акцент1" xfId="353"/>
    <cellStyle name="Акцент1 2" xfId="354"/>
    <cellStyle name="Акцент1 2 2" xfId="355"/>
    <cellStyle name="Акцент1 2 2 2" xfId="356"/>
    <cellStyle name="Акцент1 2 3" xfId="357"/>
    <cellStyle name="Акцент1 2 3 2" xfId="358"/>
    <cellStyle name="Акцент1 2 4" xfId="359"/>
    <cellStyle name="Акцент1 3" xfId="360"/>
    <cellStyle name="Акцент1 3 2" xfId="361"/>
    <cellStyle name="Акцент2" xfId="362"/>
    <cellStyle name="Акцент2 2" xfId="363"/>
    <cellStyle name="Акцент2 2 2" xfId="364"/>
    <cellStyle name="Акцент2 2 2 2" xfId="365"/>
    <cellStyle name="Акцент2 2 3" xfId="366"/>
    <cellStyle name="Акцент2 2 3 2" xfId="367"/>
    <cellStyle name="Акцент2 2 4" xfId="368"/>
    <cellStyle name="Акцент2 3" xfId="369"/>
    <cellStyle name="Акцент2 3 2" xfId="370"/>
    <cellStyle name="Акцент3" xfId="371"/>
    <cellStyle name="Акцент3 2" xfId="372"/>
    <cellStyle name="Акцент3 2 2" xfId="373"/>
    <cellStyle name="Акцент3 2 2 2" xfId="374"/>
    <cellStyle name="Акцент3 2 3" xfId="375"/>
    <cellStyle name="Акцент3 2 3 2" xfId="376"/>
    <cellStyle name="Акцент3 2 4" xfId="377"/>
    <cellStyle name="Акцент3 3" xfId="378"/>
    <cellStyle name="Акцент3 3 2" xfId="379"/>
    <cellStyle name="Акцент4" xfId="380"/>
    <cellStyle name="Акцент4 2" xfId="381"/>
    <cellStyle name="Акцент4 2 2" xfId="382"/>
    <cellStyle name="Акцент4 2 2 2" xfId="383"/>
    <cellStyle name="Акцент4 2 3" xfId="384"/>
    <cellStyle name="Акцент4 2 3 2" xfId="385"/>
    <cellStyle name="Акцент4 2 4" xfId="386"/>
    <cellStyle name="Акцент4 3" xfId="387"/>
    <cellStyle name="Акцент4 3 2" xfId="388"/>
    <cellStyle name="Акцент5" xfId="389"/>
    <cellStyle name="Акцент5 2" xfId="390"/>
    <cellStyle name="Акцент5 2 2" xfId="391"/>
    <cellStyle name="Акцент5 2 2 2" xfId="392"/>
    <cellStyle name="Акцент5 2 3" xfId="393"/>
    <cellStyle name="Акцент5 2 3 2" xfId="394"/>
    <cellStyle name="Акцент5 2 4" xfId="395"/>
    <cellStyle name="Акцент5 3" xfId="396"/>
    <cellStyle name="Акцент5 3 2" xfId="397"/>
    <cellStyle name="Акцент6" xfId="398"/>
    <cellStyle name="Акцент6 2" xfId="399"/>
    <cellStyle name="Акцент6 2 2" xfId="400"/>
    <cellStyle name="Акцент6 2 2 2" xfId="401"/>
    <cellStyle name="Акцент6 2 3" xfId="402"/>
    <cellStyle name="Акцент6 2 3 2" xfId="403"/>
    <cellStyle name="Акцент6 2 4" xfId="404"/>
    <cellStyle name="Акцент6 3" xfId="405"/>
    <cellStyle name="Акцент6 3 2" xfId="406"/>
    <cellStyle name="Ввод " xfId="407"/>
    <cellStyle name="Ввод  2" xfId="408"/>
    <cellStyle name="Ввод  2 2" xfId="409"/>
    <cellStyle name="Ввод  2 2 2" xfId="410"/>
    <cellStyle name="Ввод  2 3" xfId="411"/>
    <cellStyle name="Ввод  2 3 2" xfId="412"/>
    <cellStyle name="Ввод  2 4" xfId="413"/>
    <cellStyle name="Ввод  3" xfId="414"/>
    <cellStyle name="Ввод  3 2" xfId="415"/>
    <cellStyle name="Вывод" xfId="416"/>
    <cellStyle name="Вывод 2" xfId="417"/>
    <cellStyle name="Вывод 2 2" xfId="418"/>
    <cellStyle name="Вывод 2 2 2" xfId="419"/>
    <cellStyle name="Вывод 2 3" xfId="420"/>
    <cellStyle name="Вывод 2 3 2" xfId="421"/>
    <cellStyle name="Вывод 2 4" xfId="422"/>
    <cellStyle name="Вывод 3" xfId="423"/>
    <cellStyle name="Вывод 3 2" xfId="424"/>
    <cellStyle name="Вычисление" xfId="425"/>
    <cellStyle name="Вычисление 2" xfId="426"/>
    <cellStyle name="Вычисление 2 2" xfId="427"/>
    <cellStyle name="Вычисление 2 2 2" xfId="428"/>
    <cellStyle name="Вычисление 2 3" xfId="429"/>
    <cellStyle name="Вычисление 2 3 2" xfId="430"/>
    <cellStyle name="Вычисление 2 4" xfId="431"/>
    <cellStyle name="Вычисление 3" xfId="432"/>
    <cellStyle name="Вычисление 3 2" xfId="433"/>
    <cellStyle name="Hyperlink" xfId="434"/>
    <cellStyle name="Currency" xfId="435"/>
    <cellStyle name="Currency [0]" xfId="436"/>
    <cellStyle name="Денежный 2" xfId="437"/>
    <cellStyle name="Денежный 3" xfId="438"/>
    <cellStyle name="Денежный 4" xfId="439"/>
    <cellStyle name="Заголовок 1" xfId="440"/>
    <cellStyle name="Заголовок 1 2" xfId="441"/>
    <cellStyle name="Заголовок 1 2 2" xfId="442"/>
    <cellStyle name="Заголовок 1 3" xfId="443"/>
    <cellStyle name="Заголовок 1 3 2" xfId="444"/>
    <cellStyle name="Заголовок 2" xfId="445"/>
    <cellStyle name="Заголовок 2 2" xfId="446"/>
    <cellStyle name="Заголовок 2 2 2" xfId="447"/>
    <cellStyle name="Заголовок 2 3" xfId="448"/>
    <cellStyle name="Заголовок 2 3 2" xfId="449"/>
    <cellStyle name="Заголовок 3" xfId="450"/>
    <cellStyle name="Заголовок 3 2" xfId="451"/>
    <cellStyle name="Заголовок 3 2 2" xfId="452"/>
    <cellStyle name="Заголовок 3 3" xfId="453"/>
    <cellStyle name="Заголовок 3 3 2" xfId="454"/>
    <cellStyle name="Заголовок 4" xfId="455"/>
    <cellStyle name="Заголовок 4 2" xfId="456"/>
    <cellStyle name="Заголовок 4 2 2" xfId="457"/>
    <cellStyle name="Заголовок 4 3" xfId="458"/>
    <cellStyle name="Заголовок 4 3 2" xfId="459"/>
    <cellStyle name="Итог" xfId="460"/>
    <cellStyle name="Итог 2" xfId="461"/>
    <cellStyle name="Итог 2 2" xfId="462"/>
    <cellStyle name="Итог 3" xfId="463"/>
    <cellStyle name="Итог 3 2" xfId="464"/>
    <cellStyle name="Контрольная ячейка" xfId="465"/>
    <cellStyle name="Контрольная ячейка 2" xfId="466"/>
    <cellStyle name="Контрольная ячейка 2 2" xfId="467"/>
    <cellStyle name="Контрольная ячейка 2 2 2" xfId="468"/>
    <cellStyle name="Контрольная ячейка 2 3" xfId="469"/>
    <cellStyle name="Контрольная ячейка 2 3 2" xfId="470"/>
    <cellStyle name="Контрольная ячейка 2 4" xfId="471"/>
    <cellStyle name="Контрольная ячейка 3" xfId="472"/>
    <cellStyle name="Контрольная ячейка 3 2" xfId="473"/>
    <cellStyle name="Название" xfId="474"/>
    <cellStyle name="Название 2" xfId="475"/>
    <cellStyle name="Название 2 2" xfId="476"/>
    <cellStyle name="Название 3" xfId="477"/>
    <cellStyle name="Название 3 2" xfId="478"/>
    <cellStyle name="Нейтральный" xfId="479"/>
    <cellStyle name="Нейтральный 2" xfId="480"/>
    <cellStyle name="Нейтральный 2 2" xfId="481"/>
    <cellStyle name="Нейтральный 2 2 2" xfId="482"/>
    <cellStyle name="Нейтральный 2 3" xfId="483"/>
    <cellStyle name="Нейтральный 2 3 2" xfId="484"/>
    <cellStyle name="Нейтральный 2 4" xfId="485"/>
    <cellStyle name="Нейтральный 3" xfId="486"/>
    <cellStyle name="Нейтральный 3 2" xfId="487"/>
    <cellStyle name="Обычный 10" xfId="488"/>
    <cellStyle name="Обычный 10 2" xfId="489"/>
    <cellStyle name="Обычный 10_412 Формы для зп на 2016 год  приложение-расчет" xfId="490"/>
    <cellStyle name="Обычный 11" xfId="491"/>
    <cellStyle name="Обычный 12" xfId="492"/>
    <cellStyle name="Обычный 13" xfId="493"/>
    <cellStyle name="Обычный 14" xfId="494"/>
    <cellStyle name="Обычный 14 10" xfId="495"/>
    <cellStyle name="Обычный 14 11" xfId="496"/>
    <cellStyle name="Обычный 14 12" xfId="497"/>
    <cellStyle name="Обычный 14 13" xfId="498"/>
    <cellStyle name="Обычный 14 14" xfId="499"/>
    <cellStyle name="Обычный 14 15" xfId="500"/>
    <cellStyle name="Обычный 14 16" xfId="501"/>
    <cellStyle name="Обычный 14 17" xfId="502"/>
    <cellStyle name="Обычный 14 18" xfId="503"/>
    <cellStyle name="Обычный 14 19" xfId="504"/>
    <cellStyle name="Обычный 14 2" xfId="505"/>
    <cellStyle name="Обычный 14 20" xfId="506"/>
    <cellStyle name="Обычный 14 21" xfId="507"/>
    <cellStyle name="Обычный 14 3" xfId="508"/>
    <cellStyle name="Обычный 14 4" xfId="509"/>
    <cellStyle name="Обычный 14 5" xfId="510"/>
    <cellStyle name="Обычный 14 6" xfId="511"/>
    <cellStyle name="Обычный 14 7" xfId="512"/>
    <cellStyle name="Обычный 14 8" xfId="513"/>
    <cellStyle name="Обычный 14 9" xfId="514"/>
    <cellStyle name="Обычный 15" xfId="515"/>
    <cellStyle name="Обычный 15 10" xfId="516"/>
    <cellStyle name="Обычный 15 11" xfId="517"/>
    <cellStyle name="Обычный 15 12" xfId="518"/>
    <cellStyle name="Обычный 15 13" xfId="519"/>
    <cellStyle name="Обычный 15 14" xfId="520"/>
    <cellStyle name="Обычный 15 15" xfId="521"/>
    <cellStyle name="Обычный 15 16" xfId="522"/>
    <cellStyle name="Обычный 15 17" xfId="523"/>
    <cellStyle name="Обычный 15 18" xfId="524"/>
    <cellStyle name="Обычный 15 19" xfId="525"/>
    <cellStyle name="Обычный 15 2" xfId="526"/>
    <cellStyle name="Обычный 15 20" xfId="527"/>
    <cellStyle name="Обычный 15 21" xfId="528"/>
    <cellStyle name="Обычный 15 3" xfId="529"/>
    <cellStyle name="Обычный 15 4" xfId="530"/>
    <cellStyle name="Обычный 15 5" xfId="531"/>
    <cellStyle name="Обычный 15 6" xfId="532"/>
    <cellStyle name="Обычный 15 7" xfId="533"/>
    <cellStyle name="Обычный 15 8" xfId="534"/>
    <cellStyle name="Обычный 15 9" xfId="535"/>
    <cellStyle name="Обычный 16" xfId="536"/>
    <cellStyle name="Обычный 17" xfId="537"/>
    <cellStyle name="Обычный 17 10" xfId="538"/>
    <cellStyle name="Обычный 17 11" xfId="539"/>
    <cellStyle name="Обычный 17 12" xfId="540"/>
    <cellStyle name="Обычный 17 13" xfId="541"/>
    <cellStyle name="Обычный 17 14" xfId="542"/>
    <cellStyle name="Обычный 17 15" xfId="543"/>
    <cellStyle name="Обычный 17 16" xfId="544"/>
    <cellStyle name="Обычный 17 17" xfId="545"/>
    <cellStyle name="Обычный 17 18" xfId="546"/>
    <cellStyle name="Обычный 17 19" xfId="547"/>
    <cellStyle name="Обычный 17 2" xfId="548"/>
    <cellStyle name="Обычный 17 20" xfId="549"/>
    <cellStyle name="Обычный 17 21" xfId="550"/>
    <cellStyle name="Обычный 17 3" xfId="551"/>
    <cellStyle name="Обычный 17 4" xfId="552"/>
    <cellStyle name="Обычный 17 5" xfId="553"/>
    <cellStyle name="Обычный 17 6" xfId="554"/>
    <cellStyle name="Обычный 17 7" xfId="555"/>
    <cellStyle name="Обычный 17 8" xfId="556"/>
    <cellStyle name="Обычный 17 9" xfId="557"/>
    <cellStyle name="Обычный 18" xfId="558"/>
    <cellStyle name="Обычный 18 10" xfId="559"/>
    <cellStyle name="Обычный 18 11" xfId="560"/>
    <cellStyle name="Обычный 18 12" xfId="561"/>
    <cellStyle name="Обычный 18 13" xfId="562"/>
    <cellStyle name="Обычный 18 14" xfId="563"/>
    <cellStyle name="Обычный 18 15" xfId="564"/>
    <cellStyle name="Обычный 18 16" xfId="565"/>
    <cellStyle name="Обычный 18 17" xfId="566"/>
    <cellStyle name="Обычный 18 18" xfId="567"/>
    <cellStyle name="Обычный 18 19" xfId="568"/>
    <cellStyle name="Обычный 18 2" xfId="569"/>
    <cellStyle name="Обычный 18 20" xfId="570"/>
    <cellStyle name="Обычный 18 21" xfId="571"/>
    <cellStyle name="Обычный 18 22" xfId="572"/>
    <cellStyle name="Обычный 18 3" xfId="573"/>
    <cellStyle name="Обычный 18 4" xfId="574"/>
    <cellStyle name="Обычный 18 5" xfId="575"/>
    <cellStyle name="Обычный 18 6" xfId="576"/>
    <cellStyle name="Обычный 18 7" xfId="577"/>
    <cellStyle name="Обычный 18 8" xfId="578"/>
    <cellStyle name="Обычный 18 9" xfId="579"/>
    <cellStyle name="Обычный 2" xfId="580"/>
    <cellStyle name="Обычный 2 10" xfId="581"/>
    <cellStyle name="Обычный 2 100" xfId="582"/>
    <cellStyle name="Обычный 2 101" xfId="583"/>
    <cellStyle name="Обычный 2 102" xfId="584"/>
    <cellStyle name="Обычный 2 103" xfId="585"/>
    <cellStyle name="Обычный 2 104" xfId="586"/>
    <cellStyle name="Обычный 2 105" xfId="587"/>
    <cellStyle name="Обычный 2 106" xfId="588"/>
    <cellStyle name="Обычный 2 107" xfId="589"/>
    <cellStyle name="Обычный 2 108" xfId="590"/>
    <cellStyle name="Обычный 2 109" xfId="591"/>
    <cellStyle name="Обычный 2 11" xfId="592"/>
    <cellStyle name="Обычный 2 110" xfId="593"/>
    <cellStyle name="Обычный 2 111" xfId="594"/>
    <cellStyle name="Обычный 2 112" xfId="595"/>
    <cellStyle name="Обычный 2 113" xfId="596"/>
    <cellStyle name="Обычный 2 114" xfId="597"/>
    <cellStyle name="Обычный 2 12" xfId="598"/>
    <cellStyle name="Обычный 2 13" xfId="599"/>
    <cellStyle name="Обычный 2 14" xfId="600"/>
    <cellStyle name="Обычный 2 15" xfId="601"/>
    <cellStyle name="Обычный 2 16" xfId="602"/>
    <cellStyle name="Обычный 2 17" xfId="603"/>
    <cellStyle name="Обычный 2 18" xfId="604"/>
    <cellStyle name="Обычный 2 19" xfId="605"/>
    <cellStyle name="Обычный 2 2" xfId="606"/>
    <cellStyle name="Обычный 2 2 2" xfId="607"/>
    <cellStyle name="Обычный 2 2 2 2" xfId="608"/>
    <cellStyle name="Обычный 2 2 2 3" xfId="609"/>
    <cellStyle name="Обычный 2 2 3" xfId="610"/>
    <cellStyle name="Обычный 2 2_15.12.17 Расчет обоснование к плану ФХД-2018" xfId="611"/>
    <cellStyle name="Обычный 2 20" xfId="612"/>
    <cellStyle name="Обычный 2 21" xfId="613"/>
    <cellStyle name="Обычный 2 22" xfId="614"/>
    <cellStyle name="Обычный 2 23" xfId="615"/>
    <cellStyle name="Обычный 2 24" xfId="616"/>
    <cellStyle name="Обычный 2 25" xfId="617"/>
    <cellStyle name="Обычный 2 26" xfId="618"/>
    <cellStyle name="Обычный 2 27" xfId="619"/>
    <cellStyle name="Обычный 2 28" xfId="620"/>
    <cellStyle name="Обычный 2 29" xfId="621"/>
    <cellStyle name="Обычный 2 3" xfId="622"/>
    <cellStyle name="Обычный 2 3 2" xfId="623"/>
    <cellStyle name="Обычный 2 3 3" xfId="624"/>
    <cellStyle name="Обычный 2 3_412 Формы для зп на 2016 год  приложение-расчет" xfId="625"/>
    <cellStyle name="Обычный 2 30" xfId="626"/>
    <cellStyle name="Обычный 2 31" xfId="627"/>
    <cellStyle name="Обычный 2 32" xfId="628"/>
    <cellStyle name="Обычный 2 33" xfId="629"/>
    <cellStyle name="Обычный 2 34" xfId="630"/>
    <cellStyle name="Обычный 2 35" xfId="631"/>
    <cellStyle name="Обычный 2 36" xfId="632"/>
    <cellStyle name="Обычный 2 37" xfId="633"/>
    <cellStyle name="Обычный 2 38" xfId="634"/>
    <cellStyle name="Обычный 2 39" xfId="635"/>
    <cellStyle name="Обычный 2 4" xfId="636"/>
    <cellStyle name="Обычный 2 40" xfId="637"/>
    <cellStyle name="Обычный 2 41" xfId="638"/>
    <cellStyle name="Обычный 2 42" xfId="639"/>
    <cellStyle name="Обычный 2 43" xfId="640"/>
    <cellStyle name="Обычный 2 44" xfId="641"/>
    <cellStyle name="Обычный 2 45" xfId="642"/>
    <cellStyle name="Обычный 2 46" xfId="643"/>
    <cellStyle name="Обычный 2 47" xfId="644"/>
    <cellStyle name="Обычный 2 48" xfId="645"/>
    <cellStyle name="Обычный 2 49" xfId="646"/>
    <cellStyle name="Обычный 2 5" xfId="647"/>
    <cellStyle name="Обычный 2 50" xfId="648"/>
    <cellStyle name="Обычный 2 51" xfId="649"/>
    <cellStyle name="Обычный 2 52" xfId="650"/>
    <cellStyle name="Обычный 2 53" xfId="651"/>
    <cellStyle name="Обычный 2 54" xfId="652"/>
    <cellStyle name="Обычный 2 55" xfId="653"/>
    <cellStyle name="Обычный 2 56" xfId="654"/>
    <cellStyle name="Обычный 2 57" xfId="655"/>
    <cellStyle name="Обычный 2 58" xfId="656"/>
    <cellStyle name="Обычный 2 59" xfId="657"/>
    <cellStyle name="Обычный 2 6" xfId="658"/>
    <cellStyle name="Обычный 2 60" xfId="659"/>
    <cellStyle name="Обычный 2 61" xfId="660"/>
    <cellStyle name="Обычный 2 62" xfId="661"/>
    <cellStyle name="Обычный 2 63" xfId="662"/>
    <cellStyle name="Обычный 2 64" xfId="663"/>
    <cellStyle name="Обычный 2 65" xfId="664"/>
    <cellStyle name="Обычный 2 66" xfId="665"/>
    <cellStyle name="Обычный 2 67" xfId="666"/>
    <cellStyle name="Обычный 2 68" xfId="667"/>
    <cellStyle name="Обычный 2 69" xfId="668"/>
    <cellStyle name="Обычный 2 7" xfId="669"/>
    <cellStyle name="Обычный 2 70" xfId="670"/>
    <cellStyle name="Обычный 2 71" xfId="671"/>
    <cellStyle name="Обычный 2 72" xfId="672"/>
    <cellStyle name="Обычный 2 73" xfId="673"/>
    <cellStyle name="Обычный 2 74" xfId="674"/>
    <cellStyle name="Обычный 2 75" xfId="675"/>
    <cellStyle name="Обычный 2 76" xfId="676"/>
    <cellStyle name="Обычный 2 77" xfId="677"/>
    <cellStyle name="Обычный 2 78" xfId="678"/>
    <cellStyle name="Обычный 2 79" xfId="679"/>
    <cellStyle name="Обычный 2 8" xfId="680"/>
    <cellStyle name="Обычный 2 80" xfId="681"/>
    <cellStyle name="Обычный 2 81" xfId="682"/>
    <cellStyle name="Обычный 2 82" xfId="683"/>
    <cellStyle name="Обычный 2 83" xfId="684"/>
    <cellStyle name="Обычный 2 84" xfId="685"/>
    <cellStyle name="Обычный 2 85" xfId="686"/>
    <cellStyle name="Обычный 2 86" xfId="687"/>
    <cellStyle name="Обычный 2 87" xfId="688"/>
    <cellStyle name="Обычный 2 88" xfId="689"/>
    <cellStyle name="Обычный 2 89" xfId="690"/>
    <cellStyle name="Обычный 2 9" xfId="691"/>
    <cellStyle name="Обычный 2 90" xfId="692"/>
    <cellStyle name="Обычный 2 91" xfId="693"/>
    <cellStyle name="Обычный 2 92" xfId="694"/>
    <cellStyle name="Обычный 2 93" xfId="695"/>
    <cellStyle name="Обычный 2 94" xfId="696"/>
    <cellStyle name="Обычный 2 95" xfId="697"/>
    <cellStyle name="Обычный 2 96" xfId="698"/>
    <cellStyle name="Обычный 2 97" xfId="699"/>
    <cellStyle name="Обычный 2 98" xfId="700"/>
    <cellStyle name="Обычный 2 99" xfId="701"/>
    <cellStyle name="Обычный 2_15.12.17 Расчет обоснование к плану ФХД-2018" xfId="702"/>
    <cellStyle name="Обычный 3" xfId="703"/>
    <cellStyle name="Обычный 3 10" xfId="704"/>
    <cellStyle name="Обычный 3 11" xfId="705"/>
    <cellStyle name="Обычный 3 12" xfId="706"/>
    <cellStyle name="Обычный 3 13" xfId="707"/>
    <cellStyle name="Обычный 3 14" xfId="708"/>
    <cellStyle name="Обычный 3 15" xfId="709"/>
    <cellStyle name="Обычный 3 16" xfId="710"/>
    <cellStyle name="Обычный 3 17" xfId="711"/>
    <cellStyle name="Обычный 3 18" xfId="712"/>
    <cellStyle name="Обычный 3 19" xfId="713"/>
    <cellStyle name="Обычный 3 2" xfId="714"/>
    <cellStyle name="Обычный 3 20" xfId="715"/>
    <cellStyle name="Обычный 3 21" xfId="716"/>
    <cellStyle name="Обычный 3 22" xfId="717"/>
    <cellStyle name="Обычный 3 23" xfId="718"/>
    <cellStyle name="Обычный 3 24" xfId="719"/>
    <cellStyle name="Обычный 3 25" xfId="720"/>
    <cellStyle name="Обычный 3 26" xfId="721"/>
    <cellStyle name="Обычный 3 27" xfId="722"/>
    <cellStyle name="Обычный 3 28" xfId="723"/>
    <cellStyle name="Обычный 3 29" xfId="724"/>
    <cellStyle name="Обычный 3 3" xfId="725"/>
    <cellStyle name="Обычный 3 30" xfId="726"/>
    <cellStyle name="Обычный 3 31" xfId="727"/>
    <cellStyle name="Обычный 3 32" xfId="728"/>
    <cellStyle name="Обычный 3 33" xfId="729"/>
    <cellStyle name="Обычный 3 34" xfId="730"/>
    <cellStyle name="Обычный 3 35" xfId="731"/>
    <cellStyle name="Обычный 3 36" xfId="732"/>
    <cellStyle name="Обычный 3 37" xfId="733"/>
    <cellStyle name="Обычный 3 38" xfId="734"/>
    <cellStyle name="Обычный 3 39" xfId="735"/>
    <cellStyle name="Обычный 3 4" xfId="736"/>
    <cellStyle name="Обычный 3 40" xfId="737"/>
    <cellStyle name="Обычный 3 41" xfId="738"/>
    <cellStyle name="Обычный 3 42" xfId="739"/>
    <cellStyle name="Обычный 3 43" xfId="740"/>
    <cellStyle name="Обычный 3 44" xfId="741"/>
    <cellStyle name="Обычный 3 45" xfId="742"/>
    <cellStyle name="Обычный 3 46" xfId="743"/>
    <cellStyle name="Обычный 3 47" xfId="744"/>
    <cellStyle name="Обычный 3 48" xfId="745"/>
    <cellStyle name="Обычный 3 49" xfId="746"/>
    <cellStyle name="Обычный 3 5" xfId="747"/>
    <cellStyle name="Обычный 3 50" xfId="748"/>
    <cellStyle name="Обычный 3 51" xfId="749"/>
    <cellStyle name="Обычный 3 52" xfId="750"/>
    <cellStyle name="Обычный 3 53" xfId="751"/>
    <cellStyle name="Обычный 3 54" xfId="752"/>
    <cellStyle name="Обычный 3 55" xfId="753"/>
    <cellStyle name="Обычный 3 56" xfId="754"/>
    <cellStyle name="Обычный 3 57" xfId="755"/>
    <cellStyle name="Обычный 3 58" xfId="756"/>
    <cellStyle name="Обычный 3 59" xfId="757"/>
    <cellStyle name="Обычный 3 6" xfId="758"/>
    <cellStyle name="Обычный 3 60" xfId="759"/>
    <cellStyle name="Обычный 3 61" xfId="760"/>
    <cellStyle name="Обычный 3 62" xfId="761"/>
    <cellStyle name="Обычный 3 63" xfId="762"/>
    <cellStyle name="Обычный 3 64" xfId="763"/>
    <cellStyle name="Обычный 3 65" xfId="764"/>
    <cellStyle name="Обычный 3 66" xfId="765"/>
    <cellStyle name="Обычный 3 67" xfId="766"/>
    <cellStyle name="Обычный 3 68" xfId="767"/>
    <cellStyle name="Обычный 3 69" xfId="768"/>
    <cellStyle name="Обычный 3 7" xfId="769"/>
    <cellStyle name="Обычный 3 70" xfId="770"/>
    <cellStyle name="Обычный 3 71" xfId="771"/>
    <cellStyle name="Обычный 3 72" xfId="772"/>
    <cellStyle name="Обычный 3 73" xfId="773"/>
    <cellStyle name="Обычный 3 74" xfId="774"/>
    <cellStyle name="Обычный 3 75" xfId="775"/>
    <cellStyle name="Обычный 3 76" xfId="776"/>
    <cellStyle name="Обычный 3 77" xfId="777"/>
    <cellStyle name="Обычный 3 78" xfId="778"/>
    <cellStyle name="Обычный 3 79" xfId="779"/>
    <cellStyle name="Обычный 3 8" xfId="780"/>
    <cellStyle name="Обычный 3 80" xfId="781"/>
    <cellStyle name="Обычный 3 81" xfId="782"/>
    <cellStyle name="Обычный 3 82" xfId="783"/>
    <cellStyle name="Обычный 3 83" xfId="784"/>
    <cellStyle name="Обычный 3 84" xfId="785"/>
    <cellStyle name="Обычный 3 85" xfId="786"/>
    <cellStyle name="Обычный 3 86" xfId="787"/>
    <cellStyle name="Обычный 3 87" xfId="788"/>
    <cellStyle name="Обычный 3 88" xfId="789"/>
    <cellStyle name="Обычный 3 89" xfId="790"/>
    <cellStyle name="Обычный 3 9" xfId="791"/>
    <cellStyle name="Обычный 3 90" xfId="792"/>
    <cellStyle name="Обычный 3 91" xfId="793"/>
    <cellStyle name="Обычный 3 92" xfId="794"/>
    <cellStyle name="Обычный 3 93" xfId="795"/>
    <cellStyle name="Обычный 3 94" xfId="796"/>
    <cellStyle name="Обычный 3 95" xfId="797"/>
    <cellStyle name="Обычный 3 96" xfId="798"/>
    <cellStyle name="Обычный 3 97" xfId="799"/>
    <cellStyle name="Обычный 3_412 Формы для зп на 2016 год  приложение-расчет" xfId="800"/>
    <cellStyle name="Обычный 4" xfId="801"/>
    <cellStyle name="Обычный 4 10" xfId="802"/>
    <cellStyle name="Обычный 4 11" xfId="803"/>
    <cellStyle name="Обычный 4 12" xfId="804"/>
    <cellStyle name="Обычный 4 13" xfId="805"/>
    <cellStyle name="Обычный 4 14" xfId="806"/>
    <cellStyle name="Обычный 4 15" xfId="807"/>
    <cellStyle name="Обычный 4 16" xfId="808"/>
    <cellStyle name="Обычный 4 17" xfId="809"/>
    <cellStyle name="Обычный 4 18" xfId="810"/>
    <cellStyle name="Обычный 4 19" xfId="811"/>
    <cellStyle name="Обычный 4 2" xfId="812"/>
    <cellStyle name="Обычный 4 20" xfId="813"/>
    <cellStyle name="Обычный 4 21" xfId="814"/>
    <cellStyle name="Обычный 4 22" xfId="815"/>
    <cellStyle name="Обычный 4 23" xfId="816"/>
    <cellStyle name="Обычный 4 24" xfId="817"/>
    <cellStyle name="Обычный 4 25" xfId="818"/>
    <cellStyle name="Обычный 4 26" xfId="819"/>
    <cellStyle name="Обычный 4 27" xfId="820"/>
    <cellStyle name="Обычный 4 28" xfId="821"/>
    <cellStyle name="Обычный 4 29" xfId="822"/>
    <cellStyle name="Обычный 4 3" xfId="823"/>
    <cellStyle name="Обычный 4 30" xfId="824"/>
    <cellStyle name="Обычный 4 31" xfId="825"/>
    <cellStyle name="Обычный 4 32" xfId="826"/>
    <cellStyle name="Обычный 4 33" xfId="827"/>
    <cellStyle name="Обычный 4 34" xfId="828"/>
    <cellStyle name="Обычный 4 35" xfId="829"/>
    <cellStyle name="Обычный 4 36" xfId="830"/>
    <cellStyle name="Обычный 4 37" xfId="831"/>
    <cellStyle name="Обычный 4 38" xfId="832"/>
    <cellStyle name="Обычный 4 39" xfId="833"/>
    <cellStyle name="Обычный 4 4" xfId="834"/>
    <cellStyle name="Обычный 4 40" xfId="835"/>
    <cellStyle name="Обычный 4 41" xfId="836"/>
    <cellStyle name="Обычный 4 42" xfId="837"/>
    <cellStyle name="Обычный 4 43" xfId="838"/>
    <cellStyle name="Обычный 4 44" xfId="839"/>
    <cellStyle name="Обычный 4 45" xfId="840"/>
    <cellStyle name="Обычный 4 46" xfId="841"/>
    <cellStyle name="Обычный 4 47" xfId="842"/>
    <cellStyle name="Обычный 4 48" xfId="843"/>
    <cellStyle name="Обычный 4 49" xfId="844"/>
    <cellStyle name="Обычный 4 5" xfId="845"/>
    <cellStyle name="Обычный 4 50" xfId="846"/>
    <cellStyle name="Обычный 4 51" xfId="847"/>
    <cellStyle name="Обычный 4 52" xfId="848"/>
    <cellStyle name="Обычный 4 53" xfId="849"/>
    <cellStyle name="Обычный 4 54" xfId="850"/>
    <cellStyle name="Обычный 4 55" xfId="851"/>
    <cellStyle name="Обычный 4 56" xfId="852"/>
    <cellStyle name="Обычный 4 57" xfId="853"/>
    <cellStyle name="Обычный 4 58" xfId="854"/>
    <cellStyle name="Обычный 4 59" xfId="855"/>
    <cellStyle name="Обычный 4 6" xfId="856"/>
    <cellStyle name="Обычный 4 60" xfId="857"/>
    <cellStyle name="Обычный 4 61" xfId="858"/>
    <cellStyle name="Обычный 4 62" xfId="859"/>
    <cellStyle name="Обычный 4 63" xfId="860"/>
    <cellStyle name="Обычный 4 64" xfId="861"/>
    <cellStyle name="Обычный 4 65" xfId="862"/>
    <cellStyle name="Обычный 4 66" xfId="863"/>
    <cellStyle name="Обычный 4 67" xfId="864"/>
    <cellStyle name="Обычный 4 68" xfId="865"/>
    <cellStyle name="Обычный 4 69" xfId="866"/>
    <cellStyle name="Обычный 4 7" xfId="867"/>
    <cellStyle name="Обычный 4 70" xfId="868"/>
    <cellStyle name="Обычный 4 71" xfId="869"/>
    <cellStyle name="Обычный 4 72" xfId="870"/>
    <cellStyle name="Обычный 4 73" xfId="871"/>
    <cellStyle name="Обычный 4 74" xfId="872"/>
    <cellStyle name="Обычный 4 75" xfId="873"/>
    <cellStyle name="Обычный 4 76" xfId="874"/>
    <cellStyle name="Обычный 4 77" xfId="875"/>
    <cellStyle name="Обычный 4 78" xfId="876"/>
    <cellStyle name="Обычный 4 79" xfId="877"/>
    <cellStyle name="Обычный 4 8" xfId="878"/>
    <cellStyle name="Обычный 4 80" xfId="879"/>
    <cellStyle name="Обычный 4 81" xfId="880"/>
    <cellStyle name="Обычный 4 82" xfId="881"/>
    <cellStyle name="Обычный 4 83" xfId="882"/>
    <cellStyle name="Обычный 4 84" xfId="883"/>
    <cellStyle name="Обычный 4 85" xfId="884"/>
    <cellStyle name="Обычный 4 86" xfId="885"/>
    <cellStyle name="Обычный 4 87" xfId="886"/>
    <cellStyle name="Обычный 4 88" xfId="887"/>
    <cellStyle name="Обычный 4 89" xfId="888"/>
    <cellStyle name="Обычный 4 9" xfId="889"/>
    <cellStyle name="Обычный 4 90" xfId="890"/>
    <cellStyle name="Обычный 4 91" xfId="891"/>
    <cellStyle name="Обычный 4 92" xfId="892"/>
    <cellStyle name="Обычный 4 93" xfId="893"/>
    <cellStyle name="Обычный 4 94" xfId="894"/>
    <cellStyle name="Обычный 4 95" xfId="895"/>
    <cellStyle name="Обычный 4 96" xfId="896"/>
    <cellStyle name="Обычный 4 97" xfId="897"/>
    <cellStyle name="Обычный 5" xfId="898"/>
    <cellStyle name="Обычный 5 10" xfId="899"/>
    <cellStyle name="Обычный 5 11" xfId="900"/>
    <cellStyle name="Обычный 5 12" xfId="901"/>
    <cellStyle name="Обычный 5 13" xfId="902"/>
    <cellStyle name="Обычный 5 14" xfId="903"/>
    <cellStyle name="Обычный 5 15" xfId="904"/>
    <cellStyle name="Обычный 5 16" xfId="905"/>
    <cellStyle name="Обычный 5 17" xfId="906"/>
    <cellStyle name="Обычный 5 18" xfId="907"/>
    <cellStyle name="Обычный 5 19" xfId="908"/>
    <cellStyle name="Обычный 5 2" xfId="909"/>
    <cellStyle name="Обычный 5 20" xfId="910"/>
    <cellStyle name="Обычный 5 21" xfId="911"/>
    <cellStyle name="Обычный 5 22" xfId="912"/>
    <cellStyle name="Обычный 5 23" xfId="913"/>
    <cellStyle name="Обычный 5 24" xfId="914"/>
    <cellStyle name="Обычный 5 25" xfId="915"/>
    <cellStyle name="Обычный 5 26" xfId="916"/>
    <cellStyle name="Обычный 5 27" xfId="917"/>
    <cellStyle name="Обычный 5 28" xfId="918"/>
    <cellStyle name="Обычный 5 29" xfId="919"/>
    <cellStyle name="Обычный 5 3" xfId="920"/>
    <cellStyle name="Обычный 5 30" xfId="921"/>
    <cellStyle name="Обычный 5 31" xfId="922"/>
    <cellStyle name="Обычный 5 32" xfId="923"/>
    <cellStyle name="Обычный 5 33" xfId="924"/>
    <cellStyle name="Обычный 5 34" xfId="925"/>
    <cellStyle name="Обычный 5 35" xfId="926"/>
    <cellStyle name="Обычный 5 36" xfId="927"/>
    <cellStyle name="Обычный 5 37" xfId="928"/>
    <cellStyle name="Обычный 5 38" xfId="929"/>
    <cellStyle name="Обычный 5 39" xfId="930"/>
    <cellStyle name="Обычный 5 4" xfId="931"/>
    <cellStyle name="Обычный 5 40" xfId="932"/>
    <cellStyle name="Обычный 5 41" xfId="933"/>
    <cellStyle name="Обычный 5 42" xfId="934"/>
    <cellStyle name="Обычный 5 43" xfId="935"/>
    <cellStyle name="Обычный 5 44" xfId="936"/>
    <cellStyle name="Обычный 5 45" xfId="937"/>
    <cellStyle name="Обычный 5 46" xfId="938"/>
    <cellStyle name="Обычный 5 47" xfId="939"/>
    <cellStyle name="Обычный 5 48" xfId="940"/>
    <cellStyle name="Обычный 5 49" xfId="941"/>
    <cellStyle name="Обычный 5 5" xfId="942"/>
    <cellStyle name="Обычный 5 50" xfId="943"/>
    <cellStyle name="Обычный 5 51" xfId="944"/>
    <cellStyle name="Обычный 5 52" xfId="945"/>
    <cellStyle name="Обычный 5 53" xfId="946"/>
    <cellStyle name="Обычный 5 54" xfId="947"/>
    <cellStyle name="Обычный 5 55" xfId="948"/>
    <cellStyle name="Обычный 5 56" xfId="949"/>
    <cellStyle name="Обычный 5 57" xfId="950"/>
    <cellStyle name="Обычный 5 58" xfId="951"/>
    <cellStyle name="Обычный 5 59" xfId="952"/>
    <cellStyle name="Обычный 5 6" xfId="953"/>
    <cellStyle name="Обычный 5 60" xfId="954"/>
    <cellStyle name="Обычный 5 61" xfId="955"/>
    <cellStyle name="Обычный 5 62" xfId="956"/>
    <cellStyle name="Обычный 5 63" xfId="957"/>
    <cellStyle name="Обычный 5 64" xfId="958"/>
    <cellStyle name="Обычный 5 65" xfId="959"/>
    <cellStyle name="Обычный 5 66" xfId="960"/>
    <cellStyle name="Обычный 5 67" xfId="961"/>
    <cellStyle name="Обычный 5 68" xfId="962"/>
    <cellStyle name="Обычный 5 69" xfId="963"/>
    <cellStyle name="Обычный 5 7" xfId="964"/>
    <cellStyle name="Обычный 5 70" xfId="965"/>
    <cellStyle name="Обычный 5 71" xfId="966"/>
    <cellStyle name="Обычный 5 72" xfId="967"/>
    <cellStyle name="Обычный 5 73" xfId="968"/>
    <cellStyle name="Обычный 5 74" xfId="969"/>
    <cellStyle name="Обычный 5 75" xfId="970"/>
    <cellStyle name="Обычный 5 76" xfId="971"/>
    <cellStyle name="Обычный 5 77" xfId="972"/>
    <cellStyle name="Обычный 5 78" xfId="973"/>
    <cellStyle name="Обычный 5 79" xfId="974"/>
    <cellStyle name="Обычный 5 8" xfId="975"/>
    <cellStyle name="Обычный 5 80" xfId="976"/>
    <cellStyle name="Обычный 5 81" xfId="977"/>
    <cellStyle name="Обычный 5 82" xfId="978"/>
    <cellStyle name="Обычный 5 83" xfId="979"/>
    <cellStyle name="Обычный 5 84" xfId="980"/>
    <cellStyle name="Обычный 5 85" xfId="981"/>
    <cellStyle name="Обычный 5 86" xfId="982"/>
    <cellStyle name="Обычный 5 87" xfId="983"/>
    <cellStyle name="Обычный 5 88" xfId="984"/>
    <cellStyle name="Обычный 5 89" xfId="985"/>
    <cellStyle name="Обычный 5 9" xfId="986"/>
    <cellStyle name="Обычный 5 90" xfId="987"/>
    <cellStyle name="Обычный 5 91" xfId="988"/>
    <cellStyle name="Обычный 5 92" xfId="989"/>
    <cellStyle name="Обычный 5 93" xfId="990"/>
    <cellStyle name="Обычный 5 94" xfId="991"/>
    <cellStyle name="Обычный 5 95" xfId="992"/>
    <cellStyle name="Обычный 5 96" xfId="993"/>
    <cellStyle name="Обычный 5 97" xfId="994"/>
    <cellStyle name="Обычный 5_412 Формы для зп на 2016 год  приложение-расчет" xfId="995"/>
    <cellStyle name="Обычный 6" xfId="996"/>
    <cellStyle name="Обычный 6 2" xfId="997"/>
    <cellStyle name="Обычный 7" xfId="998"/>
    <cellStyle name="Обычный 7 2" xfId="999"/>
    <cellStyle name="Обычный 7 3" xfId="1000"/>
    <cellStyle name="Обычный 7_412 Формы для зп на 2016 год  приложение-расчет" xfId="1001"/>
    <cellStyle name="Обычный 8" xfId="1002"/>
    <cellStyle name="Обычный 8 10" xfId="1003"/>
    <cellStyle name="Обычный 8 11" xfId="1004"/>
    <cellStyle name="Обычный 8 12" xfId="1005"/>
    <cellStyle name="Обычный 8 13" xfId="1006"/>
    <cellStyle name="Обычный 8 14" xfId="1007"/>
    <cellStyle name="Обычный 8 15" xfId="1008"/>
    <cellStyle name="Обычный 8 16" xfId="1009"/>
    <cellStyle name="Обычный 8 17" xfId="1010"/>
    <cellStyle name="Обычный 8 18" xfId="1011"/>
    <cellStyle name="Обычный 8 19" xfId="1012"/>
    <cellStyle name="Обычный 8 2" xfId="1013"/>
    <cellStyle name="Обычный 8 20" xfId="1014"/>
    <cellStyle name="Обычный 8 21" xfId="1015"/>
    <cellStyle name="Обычный 8 22" xfId="1016"/>
    <cellStyle name="Обычный 8 3" xfId="1017"/>
    <cellStyle name="Обычный 8 4" xfId="1018"/>
    <cellStyle name="Обычный 8 5" xfId="1019"/>
    <cellStyle name="Обычный 8 6" xfId="1020"/>
    <cellStyle name="Обычный 8 7" xfId="1021"/>
    <cellStyle name="Обычный 8 8" xfId="1022"/>
    <cellStyle name="Обычный 8 9" xfId="1023"/>
    <cellStyle name="Обычный 8_412 Формы для зп на 2016 год  приложение-расчет" xfId="1024"/>
    <cellStyle name="Обычный 9" xfId="1025"/>
    <cellStyle name="Обычный 9 10" xfId="1026"/>
    <cellStyle name="Обычный 9 11" xfId="1027"/>
    <cellStyle name="Обычный 9 12" xfId="1028"/>
    <cellStyle name="Обычный 9 13" xfId="1029"/>
    <cellStyle name="Обычный 9 14" xfId="1030"/>
    <cellStyle name="Обычный 9 15" xfId="1031"/>
    <cellStyle name="Обычный 9 16" xfId="1032"/>
    <cellStyle name="Обычный 9 17" xfId="1033"/>
    <cellStyle name="Обычный 9 18" xfId="1034"/>
    <cellStyle name="Обычный 9 19" xfId="1035"/>
    <cellStyle name="Обычный 9 2" xfId="1036"/>
    <cellStyle name="Обычный 9 20" xfId="1037"/>
    <cellStyle name="Обычный 9 21" xfId="1038"/>
    <cellStyle name="Обычный 9 22" xfId="1039"/>
    <cellStyle name="Обычный 9 3" xfId="1040"/>
    <cellStyle name="Обычный 9 4" xfId="1041"/>
    <cellStyle name="Обычный 9 5" xfId="1042"/>
    <cellStyle name="Обычный 9 6" xfId="1043"/>
    <cellStyle name="Обычный 9 7" xfId="1044"/>
    <cellStyle name="Обычный 9 8" xfId="1045"/>
    <cellStyle name="Обычный 9 9" xfId="1046"/>
    <cellStyle name="Обычный 9_412 Формы для зп на 2016 год  приложение-расчет" xfId="1047"/>
    <cellStyle name="Followed Hyperlink" xfId="1048"/>
    <cellStyle name="Плохой" xfId="1049"/>
    <cellStyle name="Плохой 2" xfId="1050"/>
    <cellStyle name="Плохой 2 2" xfId="1051"/>
    <cellStyle name="Плохой 2 2 2" xfId="1052"/>
    <cellStyle name="Плохой 2 3" xfId="1053"/>
    <cellStyle name="Плохой 2 3 2" xfId="1054"/>
    <cellStyle name="Плохой 2 4" xfId="1055"/>
    <cellStyle name="Плохой 3" xfId="1056"/>
    <cellStyle name="Плохой 3 2" xfId="1057"/>
    <cellStyle name="Пояснение" xfId="1058"/>
    <cellStyle name="Пояснение 2" xfId="1059"/>
    <cellStyle name="Пояснение 2 2" xfId="1060"/>
    <cellStyle name="Пояснение 3" xfId="1061"/>
    <cellStyle name="Пояснение 3 2" xfId="1062"/>
    <cellStyle name="Примечание" xfId="1063"/>
    <cellStyle name="Примечание 2" xfId="1064"/>
    <cellStyle name="Примечание 3" xfId="1065"/>
    <cellStyle name="Примечание 4" xfId="1066"/>
    <cellStyle name="Percent" xfId="1067"/>
    <cellStyle name="Процентный 2" xfId="1068"/>
    <cellStyle name="Процентный 2 2" xfId="1069"/>
    <cellStyle name="Процентный 2 2 2" xfId="1070"/>
    <cellStyle name="Процентный 2 3" xfId="1071"/>
    <cellStyle name="Процентный 2 4" xfId="1072"/>
    <cellStyle name="Процентный 3" xfId="1073"/>
    <cellStyle name="Процентный 4" xfId="1074"/>
    <cellStyle name="Процентный 5" xfId="1075"/>
    <cellStyle name="Процентный 6" xfId="1076"/>
    <cellStyle name="Процентный 7" xfId="1077"/>
    <cellStyle name="Связанная ячейка" xfId="1078"/>
    <cellStyle name="Связанная ячейка 2" xfId="1079"/>
    <cellStyle name="Связанная ячейка 2 2" xfId="1080"/>
    <cellStyle name="Связанная ячейка 3" xfId="1081"/>
    <cellStyle name="Связанная ячейка 3 2" xfId="1082"/>
    <cellStyle name="Стиль 1" xfId="1083"/>
    <cellStyle name="Текст предупреждения" xfId="1084"/>
    <cellStyle name="Текст предупреждения 2" xfId="1085"/>
    <cellStyle name="Текст предупреждения 2 2" xfId="1086"/>
    <cellStyle name="Текст предупреждения 3" xfId="1087"/>
    <cellStyle name="Текст предупреждения 3 2" xfId="1088"/>
    <cellStyle name="Comma" xfId="1089"/>
    <cellStyle name="Comma [0]" xfId="1090"/>
    <cellStyle name="Финансовый 10" xfId="1091"/>
    <cellStyle name="Финансовый 11" xfId="1092"/>
    <cellStyle name="Финансовый 12" xfId="1093"/>
    <cellStyle name="Финансовый 13" xfId="1094"/>
    <cellStyle name="Финансовый 14" xfId="1095"/>
    <cellStyle name="Финансовый 15" xfId="1096"/>
    <cellStyle name="Финансовый 16" xfId="1097"/>
    <cellStyle name="Финансовый 17" xfId="1098"/>
    <cellStyle name="Финансовый 18" xfId="1099"/>
    <cellStyle name="Финансовый 19" xfId="1100"/>
    <cellStyle name="Финансовый 2" xfId="1101"/>
    <cellStyle name="Финансовый 2 10" xfId="1102"/>
    <cellStyle name="Финансовый 2 11" xfId="1103"/>
    <cellStyle name="Финансовый 2 12" xfId="1104"/>
    <cellStyle name="Финансовый 2 13" xfId="1105"/>
    <cellStyle name="Финансовый 2 14" xfId="1106"/>
    <cellStyle name="Финансовый 2 15" xfId="1107"/>
    <cellStyle name="Финансовый 2 16" xfId="1108"/>
    <cellStyle name="Финансовый 2 17" xfId="1109"/>
    <cellStyle name="Финансовый 2 18" xfId="1110"/>
    <cellStyle name="Финансовый 2 19" xfId="1111"/>
    <cellStyle name="Финансовый 2 2" xfId="1112"/>
    <cellStyle name="Финансовый 2 2 10" xfId="1113"/>
    <cellStyle name="Финансовый 2 2 11" xfId="1114"/>
    <cellStyle name="Финансовый 2 2 12" xfId="1115"/>
    <cellStyle name="Финансовый 2 2 13" xfId="1116"/>
    <cellStyle name="Финансовый 2 2 14" xfId="1117"/>
    <cellStyle name="Финансовый 2 2 15" xfId="1118"/>
    <cellStyle name="Финансовый 2 2 16" xfId="1119"/>
    <cellStyle name="Финансовый 2 2 17" xfId="1120"/>
    <cellStyle name="Финансовый 2 2 18" xfId="1121"/>
    <cellStyle name="Финансовый 2 2 19" xfId="1122"/>
    <cellStyle name="Финансовый 2 2 2" xfId="1123"/>
    <cellStyle name="Финансовый 2 2 20" xfId="1124"/>
    <cellStyle name="Финансовый 2 2 21" xfId="1125"/>
    <cellStyle name="Финансовый 2 2 22" xfId="1126"/>
    <cellStyle name="Финансовый 2 2 3" xfId="1127"/>
    <cellStyle name="Финансовый 2 2 4" xfId="1128"/>
    <cellStyle name="Финансовый 2 2 5" xfId="1129"/>
    <cellStyle name="Финансовый 2 2 6" xfId="1130"/>
    <cellStyle name="Финансовый 2 2 7" xfId="1131"/>
    <cellStyle name="Финансовый 2 2 8" xfId="1132"/>
    <cellStyle name="Финансовый 2 2 9" xfId="1133"/>
    <cellStyle name="Финансовый 2 20" xfId="1134"/>
    <cellStyle name="Финансовый 2 21" xfId="1135"/>
    <cellStyle name="Финансовый 2 22" xfId="1136"/>
    <cellStyle name="Финансовый 2 23" xfId="1137"/>
    <cellStyle name="Финансовый 2 24" xfId="1138"/>
    <cellStyle name="Финансовый 2 25" xfId="1139"/>
    <cellStyle name="Финансовый 2 26" xfId="1140"/>
    <cellStyle name="Финансовый 2 27" xfId="1141"/>
    <cellStyle name="Финансовый 2 28" xfId="1142"/>
    <cellStyle name="Финансовый 2 29" xfId="1143"/>
    <cellStyle name="Финансовый 2 3" xfId="1144"/>
    <cellStyle name="Финансовый 2 3 10" xfId="1145"/>
    <cellStyle name="Финансовый 2 3 11" xfId="1146"/>
    <cellStyle name="Финансовый 2 3 12" xfId="1147"/>
    <cellStyle name="Финансовый 2 3 13" xfId="1148"/>
    <cellStyle name="Финансовый 2 3 14" xfId="1149"/>
    <cellStyle name="Финансовый 2 3 15" xfId="1150"/>
    <cellStyle name="Финансовый 2 3 16" xfId="1151"/>
    <cellStyle name="Финансовый 2 3 17" xfId="1152"/>
    <cellStyle name="Финансовый 2 3 18" xfId="1153"/>
    <cellStyle name="Финансовый 2 3 19" xfId="1154"/>
    <cellStyle name="Финансовый 2 3 2" xfId="1155"/>
    <cellStyle name="Финансовый 2 3 2 2" xfId="1156"/>
    <cellStyle name="Финансовый 2 3 20" xfId="1157"/>
    <cellStyle name="Финансовый 2 3 21" xfId="1158"/>
    <cellStyle name="Финансовый 2 3 22" xfId="1159"/>
    <cellStyle name="Финансовый 2 3 3" xfId="1160"/>
    <cellStyle name="Финансовый 2 3 4" xfId="1161"/>
    <cellStyle name="Финансовый 2 3 5" xfId="1162"/>
    <cellStyle name="Финансовый 2 3 6" xfId="1163"/>
    <cellStyle name="Финансовый 2 3 7" xfId="1164"/>
    <cellStyle name="Финансовый 2 3 8" xfId="1165"/>
    <cellStyle name="Финансовый 2 3 9" xfId="1166"/>
    <cellStyle name="Финансовый 2 30" xfId="1167"/>
    <cellStyle name="Финансовый 2 31" xfId="1168"/>
    <cellStyle name="Финансовый 2 32" xfId="1169"/>
    <cellStyle name="Финансовый 2 33" xfId="1170"/>
    <cellStyle name="Финансовый 2 34" xfId="1171"/>
    <cellStyle name="Финансовый 2 35" xfId="1172"/>
    <cellStyle name="Финансовый 2 36" xfId="1173"/>
    <cellStyle name="Финансовый 2 37" xfId="1174"/>
    <cellStyle name="Финансовый 2 38" xfId="1175"/>
    <cellStyle name="Финансовый 2 39" xfId="1176"/>
    <cellStyle name="Финансовый 2 4" xfId="1177"/>
    <cellStyle name="Финансовый 2 4 10" xfId="1178"/>
    <cellStyle name="Финансовый 2 4 11" xfId="1179"/>
    <cellStyle name="Финансовый 2 4 12" xfId="1180"/>
    <cellStyle name="Финансовый 2 4 13" xfId="1181"/>
    <cellStyle name="Финансовый 2 4 14" xfId="1182"/>
    <cellStyle name="Финансовый 2 4 15" xfId="1183"/>
    <cellStyle name="Финансовый 2 4 16" xfId="1184"/>
    <cellStyle name="Финансовый 2 4 17" xfId="1185"/>
    <cellStyle name="Финансовый 2 4 18" xfId="1186"/>
    <cellStyle name="Финансовый 2 4 19" xfId="1187"/>
    <cellStyle name="Финансовый 2 4 2" xfId="1188"/>
    <cellStyle name="Финансовый 2 4 20" xfId="1189"/>
    <cellStyle name="Финансовый 2 4 21" xfId="1190"/>
    <cellStyle name="Финансовый 2 4 22" xfId="1191"/>
    <cellStyle name="Финансовый 2 4 3" xfId="1192"/>
    <cellStyle name="Финансовый 2 4 4" xfId="1193"/>
    <cellStyle name="Финансовый 2 4 5" xfId="1194"/>
    <cellStyle name="Финансовый 2 4 6" xfId="1195"/>
    <cellStyle name="Финансовый 2 4 7" xfId="1196"/>
    <cellStyle name="Финансовый 2 4 8" xfId="1197"/>
    <cellStyle name="Финансовый 2 4 9" xfId="1198"/>
    <cellStyle name="Финансовый 2 5" xfId="1199"/>
    <cellStyle name="Финансовый 2 5 10" xfId="1200"/>
    <cellStyle name="Финансовый 2 5 11" xfId="1201"/>
    <cellStyle name="Финансовый 2 5 12" xfId="1202"/>
    <cellStyle name="Финансовый 2 5 13" xfId="1203"/>
    <cellStyle name="Финансовый 2 5 14" xfId="1204"/>
    <cellStyle name="Финансовый 2 5 15" xfId="1205"/>
    <cellStyle name="Финансовый 2 5 16" xfId="1206"/>
    <cellStyle name="Финансовый 2 5 17" xfId="1207"/>
    <cellStyle name="Финансовый 2 5 18" xfId="1208"/>
    <cellStyle name="Финансовый 2 5 19" xfId="1209"/>
    <cellStyle name="Финансовый 2 5 2" xfId="1210"/>
    <cellStyle name="Финансовый 2 5 20" xfId="1211"/>
    <cellStyle name="Финансовый 2 5 21" xfId="1212"/>
    <cellStyle name="Финансовый 2 5 22" xfId="1213"/>
    <cellStyle name="Финансовый 2 5 3" xfId="1214"/>
    <cellStyle name="Финансовый 2 5 4" xfId="1215"/>
    <cellStyle name="Финансовый 2 5 5" xfId="1216"/>
    <cellStyle name="Финансовый 2 5 6" xfId="1217"/>
    <cellStyle name="Финансовый 2 5 7" xfId="1218"/>
    <cellStyle name="Финансовый 2 5 8" xfId="1219"/>
    <cellStyle name="Финансовый 2 5 9" xfId="1220"/>
    <cellStyle name="Финансовый 2 6" xfId="1221"/>
    <cellStyle name="Финансовый 2 6 10" xfId="1222"/>
    <cellStyle name="Финансовый 2 6 11" xfId="1223"/>
    <cellStyle name="Финансовый 2 6 12" xfId="1224"/>
    <cellStyle name="Финансовый 2 6 13" xfId="1225"/>
    <cellStyle name="Финансовый 2 6 14" xfId="1226"/>
    <cellStyle name="Финансовый 2 6 15" xfId="1227"/>
    <cellStyle name="Финансовый 2 6 16" xfId="1228"/>
    <cellStyle name="Финансовый 2 6 17" xfId="1229"/>
    <cellStyle name="Финансовый 2 6 18" xfId="1230"/>
    <cellStyle name="Финансовый 2 6 19" xfId="1231"/>
    <cellStyle name="Финансовый 2 6 2" xfId="1232"/>
    <cellStyle name="Финансовый 2 6 20" xfId="1233"/>
    <cellStyle name="Финансовый 2 6 21" xfId="1234"/>
    <cellStyle name="Финансовый 2 6 22" xfId="1235"/>
    <cellStyle name="Финансовый 2 6 3" xfId="1236"/>
    <cellStyle name="Финансовый 2 6 4" xfId="1237"/>
    <cellStyle name="Финансовый 2 6 5" xfId="1238"/>
    <cellStyle name="Финансовый 2 6 6" xfId="1239"/>
    <cellStyle name="Финансовый 2 6 7" xfId="1240"/>
    <cellStyle name="Финансовый 2 6 8" xfId="1241"/>
    <cellStyle name="Финансовый 2 6 9" xfId="1242"/>
    <cellStyle name="Финансовый 2 7" xfId="1243"/>
    <cellStyle name="Финансовый 2 8" xfId="1244"/>
    <cellStyle name="Финансовый 2 9" xfId="1245"/>
    <cellStyle name="Финансовый 20" xfId="1246"/>
    <cellStyle name="Финансовый 21" xfId="1247"/>
    <cellStyle name="Финансовый 22" xfId="1248"/>
    <cellStyle name="Финансовый 23" xfId="1249"/>
    <cellStyle name="Финансовый 24" xfId="1250"/>
    <cellStyle name="Финансовый 25" xfId="1251"/>
    <cellStyle name="Финансовый 26" xfId="1252"/>
    <cellStyle name="Финансовый 26 2" xfId="1253"/>
    <cellStyle name="Финансовый 3" xfId="1254"/>
    <cellStyle name="Финансовый 3 2" xfId="1255"/>
    <cellStyle name="Финансовый 3 2 2" xfId="1256"/>
    <cellStyle name="Финансовый 3 2 2 2" xfId="1257"/>
    <cellStyle name="Финансовый 3 2 3" xfId="1258"/>
    <cellStyle name="Финансовый 3 3" xfId="1259"/>
    <cellStyle name="Финансовый 3 3 2" xfId="1260"/>
    <cellStyle name="Финансовый 3 4" xfId="1261"/>
    <cellStyle name="Финансовый 3 4 2" xfId="1262"/>
    <cellStyle name="Финансовый 3 5" xfId="1263"/>
    <cellStyle name="Финансовый 3 6" xfId="1264"/>
    <cellStyle name="Финансовый 4" xfId="1265"/>
    <cellStyle name="Финансовый 4 2" xfId="1266"/>
    <cellStyle name="Финансовый 4 2 2" xfId="1267"/>
    <cellStyle name="Финансовый 4 2_412 Формы для зп на 2016 год  приложение-расчет" xfId="1268"/>
    <cellStyle name="Финансовый 4 3" xfId="1269"/>
    <cellStyle name="Финансовый 4 4" xfId="1270"/>
    <cellStyle name="Финансовый 5" xfId="1271"/>
    <cellStyle name="Финансовый 5 2" xfId="1272"/>
    <cellStyle name="Финансовый 5 2 2" xfId="1273"/>
    <cellStyle name="Финансовый 5 3" xfId="1274"/>
    <cellStyle name="Финансовый 6" xfId="1275"/>
    <cellStyle name="Финансовый 7" xfId="1276"/>
    <cellStyle name="Финансовый 7 10" xfId="1277"/>
    <cellStyle name="Финансовый 7 11" xfId="1278"/>
    <cellStyle name="Финансовый 7 12" xfId="1279"/>
    <cellStyle name="Финансовый 7 13" xfId="1280"/>
    <cellStyle name="Финансовый 7 14" xfId="1281"/>
    <cellStyle name="Финансовый 7 15" xfId="1282"/>
    <cellStyle name="Финансовый 7 16" xfId="1283"/>
    <cellStyle name="Финансовый 7 17" xfId="1284"/>
    <cellStyle name="Финансовый 7 18" xfId="1285"/>
    <cellStyle name="Финансовый 7 19" xfId="1286"/>
    <cellStyle name="Финансовый 7 2" xfId="1287"/>
    <cellStyle name="Финансовый 7 20" xfId="1288"/>
    <cellStyle name="Финансовый 7 21" xfId="1289"/>
    <cellStyle name="Финансовый 7 22" xfId="1290"/>
    <cellStyle name="Финансовый 7 3" xfId="1291"/>
    <cellStyle name="Финансовый 7 4" xfId="1292"/>
    <cellStyle name="Финансовый 7 5" xfId="1293"/>
    <cellStyle name="Финансовый 7 6" xfId="1294"/>
    <cellStyle name="Финансовый 7 7" xfId="1295"/>
    <cellStyle name="Финансовый 7 8" xfId="1296"/>
    <cellStyle name="Финансовый 7 9" xfId="1297"/>
    <cellStyle name="Финансовый 8" xfId="1298"/>
    <cellStyle name="Финансовый 9" xfId="1299"/>
    <cellStyle name="Хороший" xfId="1300"/>
    <cellStyle name="Хороший 2" xfId="1301"/>
    <cellStyle name="Хороший 2 2" xfId="1302"/>
    <cellStyle name="Хороший 2 2 2" xfId="1303"/>
    <cellStyle name="Хороший 2 3" xfId="1304"/>
    <cellStyle name="Хороший 2 3 2" xfId="1305"/>
    <cellStyle name="Хороший 2 4" xfId="1306"/>
    <cellStyle name="Хороший 3" xfId="1307"/>
    <cellStyle name="Хороший 3 2" xfId="1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view="pageBreakPreview" zoomScale="110" zoomScaleSheetLayoutView="110" zoomScalePageLayoutView="0" workbookViewId="0" topLeftCell="A1">
      <selection activeCell="G19" sqref="G19:H19"/>
    </sheetView>
  </sheetViews>
  <sheetFormatPr defaultColWidth="9.140625" defaultRowHeight="15"/>
  <cols>
    <col min="1" max="1" width="13.140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11"/>
      <c r="F1" s="432" t="s">
        <v>31</v>
      </c>
      <c r="G1" s="432"/>
      <c r="H1" s="432"/>
    </row>
    <row r="2" spans="1:8" ht="11.25" customHeight="1">
      <c r="A2" s="11"/>
      <c r="F2" s="432" t="s">
        <v>29</v>
      </c>
      <c r="G2" s="432"/>
      <c r="H2" s="432"/>
    </row>
    <row r="3" spans="1:8" ht="11.25" customHeight="1">
      <c r="A3" s="12"/>
      <c r="F3" s="432" t="s">
        <v>27</v>
      </c>
      <c r="G3" s="432"/>
      <c r="H3" s="432"/>
    </row>
    <row r="4" spans="1:8" ht="11.25" customHeight="1">
      <c r="A4" s="12"/>
      <c r="F4" s="432" t="s">
        <v>14</v>
      </c>
      <c r="G4" s="432"/>
      <c r="H4" s="432"/>
    </row>
    <row r="5" spans="1:8" ht="30" customHeight="1">
      <c r="A5" s="13"/>
      <c r="F5" s="439"/>
      <c r="G5" s="439"/>
      <c r="H5" s="439"/>
    </row>
    <row r="6" spans="1:9" ht="27.75" customHeight="1">
      <c r="A6" s="90"/>
      <c r="B6" s="90"/>
      <c r="C6" s="90"/>
      <c r="D6" s="428"/>
      <c r="E6" s="428"/>
      <c r="F6" s="428"/>
      <c r="G6" s="428"/>
      <c r="H6" s="1"/>
      <c r="I6" s="7"/>
    </row>
    <row r="7" spans="1:9" ht="15" customHeight="1">
      <c r="A7" s="90"/>
      <c r="B7" s="90"/>
      <c r="C7" s="90"/>
      <c r="D7" s="91"/>
      <c r="E7" s="430" t="s">
        <v>15</v>
      </c>
      <c r="F7" s="430"/>
      <c r="G7" s="430"/>
      <c r="H7" s="430"/>
      <c r="I7" s="7"/>
    </row>
    <row r="8" spans="1:9" ht="15.75">
      <c r="A8" s="90"/>
      <c r="B8" s="90"/>
      <c r="C8" s="90"/>
      <c r="D8" s="91"/>
      <c r="E8" s="438" t="s">
        <v>486</v>
      </c>
      <c r="F8" s="438"/>
      <c r="G8" s="438"/>
      <c r="H8" s="438"/>
      <c r="I8" s="7"/>
    </row>
    <row r="9" spans="1:9" ht="15" customHeight="1">
      <c r="A9" s="91"/>
      <c r="B9" s="91"/>
      <c r="C9" s="91"/>
      <c r="D9" s="91"/>
      <c r="E9" s="433" t="s">
        <v>16</v>
      </c>
      <c r="F9" s="433"/>
      <c r="G9" s="433"/>
      <c r="H9" s="433"/>
      <c r="I9" s="440"/>
    </row>
    <row r="10" spans="1:9" ht="15" customHeight="1">
      <c r="A10" s="91"/>
      <c r="B10" s="91"/>
      <c r="C10" s="91"/>
      <c r="D10" s="91"/>
      <c r="E10" s="93"/>
      <c r="F10" s="93"/>
      <c r="G10" s="438" t="s">
        <v>487</v>
      </c>
      <c r="H10" s="438"/>
      <c r="I10" s="440"/>
    </row>
    <row r="11" spans="1:9" ht="16.5" customHeight="1">
      <c r="A11" s="90"/>
      <c r="B11" s="90"/>
      <c r="C11" s="90"/>
      <c r="D11" s="91"/>
      <c r="E11" s="433" t="s">
        <v>11</v>
      </c>
      <c r="F11" s="433"/>
      <c r="G11" s="434" t="s">
        <v>12</v>
      </c>
      <c r="H11" s="434"/>
      <c r="I11" s="7"/>
    </row>
    <row r="12" spans="1:9" ht="22.5" customHeight="1">
      <c r="A12" s="90"/>
      <c r="B12" s="90"/>
      <c r="C12" s="90"/>
      <c r="D12" s="91"/>
      <c r="E12" s="430" t="s">
        <v>766</v>
      </c>
      <c r="F12" s="430"/>
      <c r="G12" s="430"/>
      <c r="H12" s="430"/>
      <c r="I12" s="4"/>
    </row>
    <row r="13" spans="1:9" ht="17.25" customHeight="1">
      <c r="A13" s="424" t="s">
        <v>17</v>
      </c>
      <c r="B13" s="424"/>
      <c r="C13" s="424"/>
      <c r="D13" s="424"/>
      <c r="E13" s="424"/>
      <c r="F13" s="424"/>
      <c r="G13" s="424"/>
      <c r="H13" s="424"/>
      <c r="I13" s="441"/>
    </row>
    <row r="14" spans="1:9" ht="15" customHeight="1">
      <c r="A14" s="424" t="s">
        <v>394</v>
      </c>
      <c r="B14" s="424"/>
      <c r="C14" s="424"/>
      <c r="D14" s="424"/>
      <c r="E14" s="424"/>
      <c r="F14" s="424"/>
      <c r="G14" s="424"/>
      <c r="H14" s="424"/>
      <c r="I14" s="441"/>
    </row>
    <row r="15" spans="1:9" ht="15" customHeight="1">
      <c r="A15" s="424" t="s">
        <v>433</v>
      </c>
      <c r="B15" s="424"/>
      <c r="C15" s="424"/>
      <c r="D15" s="424"/>
      <c r="E15" s="424"/>
      <c r="F15" s="424"/>
      <c r="G15" s="424"/>
      <c r="H15" s="424"/>
      <c r="I15" s="441"/>
    </row>
    <row r="16" spans="1:9" ht="12" customHeight="1">
      <c r="A16" s="424"/>
      <c r="B16" s="424"/>
      <c r="C16" s="424"/>
      <c r="D16" s="424"/>
      <c r="E16" s="424"/>
      <c r="F16" s="424"/>
      <c r="G16" s="424"/>
      <c r="H16" s="424"/>
      <c r="I16" s="441"/>
    </row>
    <row r="17" spans="1:9" ht="18.75" customHeight="1">
      <c r="A17" s="2"/>
      <c r="B17" s="2"/>
      <c r="C17" s="2"/>
      <c r="D17" s="183">
        <v>43579</v>
      </c>
      <c r="E17" s="424"/>
      <c r="F17" s="444"/>
      <c r="G17" s="445" t="s">
        <v>18</v>
      </c>
      <c r="H17" s="445"/>
      <c r="I17" s="3"/>
    </row>
    <row r="18" spans="1:9" ht="27.75" customHeight="1">
      <c r="A18" s="2"/>
      <c r="B18" s="2"/>
      <c r="C18" s="2"/>
      <c r="D18" s="2"/>
      <c r="E18" s="436" t="s">
        <v>28</v>
      </c>
      <c r="F18" s="437"/>
      <c r="G18" s="447"/>
      <c r="H18" s="448"/>
      <c r="I18" s="15"/>
    </row>
    <row r="19" spans="1:9" ht="17.25" customHeight="1">
      <c r="A19" s="94"/>
      <c r="B19" s="2"/>
      <c r="C19" s="2"/>
      <c r="D19" s="2"/>
      <c r="E19" s="436" t="s">
        <v>431</v>
      </c>
      <c r="F19" s="437"/>
      <c r="G19" s="446">
        <f>D17</f>
        <v>43579</v>
      </c>
      <c r="H19" s="446"/>
      <c r="I19" s="4"/>
    </row>
    <row r="20" spans="1:9" ht="17.25" customHeight="1">
      <c r="A20" s="91"/>
      <c r="B20" s="90"/>
      <c r="C20" s="91"/>
      <c r="D20" s="1"/>
      <c r="E20" s="436" t="s">
        <v>19</v>
      </c>
      <c r="F20" s="437"/>
      <c r="G20" s="449" t="s">
        <v>490</v>
      </c>
      <c r="H20" s="450"/>
      <c r="I20" s="14"/>
    </row>
    <row r="21" spans="1:9" ht="30.75" customHeight="1">
      <c r="A21" s="91"/>
      <c r="B21" s="90"/>
      <c r="C21" s="91"/>
      <c r="D21" s="1"/>
      <c r="E21" s="6"/>
      <c r="F21" s="5" t="s">
        <v>395</v>
      </c>
      <c r="G21" s="442"/>
      <c r="H21" s="443"/>
      <c r="I21" s="14"/>
    </row>
    <row r="22" spans="1:9" ht="30.75" customHeight="1">
      <c r="A22" s="91"/>
      <c r="B22" s="90"/>
      <c r="C22" s="91"/>
      <c r="D22" s="1"/>
      <c r="E22" s="6"/>
      <c r="F22" s="5" t="s">
        <v>396</v>
      </c>
      <c r="G22" s="442"/>
      <c r="H22" s="443"/>
      <c r="I22" s="14"/>
    </row>
    <row r="23" spans="1:9" ht="17.25" customHeight="1">
      <c r="A23" s="91"/>
      <c r="B23" s="90"/>
      <c r="C23" s="91"/>
      <c r="D23" s="1"/>
      <c r="E23" s="436" t="s">
        <v>20</v>
      </c>
      <c r="F23" s="437"/>
      <c r="G23" s="425">
        <v>383</v>
      </c>
      <c r="H23" s="425"/>
      <c r="I23" s="14"/>
    </row>
    <row r="24" spans="1:9" ht="30.75" customHeight="1">
      <c r="A24" s="426" t="s">
        <v>488</v>
      </c>
      <c r="B24" s="426"/>
      <c r="C24" s="426"/>
      <c r="D24" s="426"/>
      <c r="E24" s="426"/>
      <c r="F24" s="426"/>
      <c r="G24" s="426"/>
      <c r="H24" s="426"/>
      <c r="I24" s="14"/>
    </row>
    <row r="25" spans="1:9" ht="9" customHeight="1">
      <c r="A25" s="91"/>
      <c r="B25" s="91"/>
      <c r="C25" s="91"/>
      <c r="D25" s="91"/>
      <c r="E25" s="91"/>
      <c r="F25" s="91"/>
      <c r="G25" s="91"/>
      <c r="H25" s="91"/>
      <c r="I25" s="14"/>
    </row>
    <row r="26" spans="1:9" ht="15" customHeight="1">
      <c r="A26" s="91" t="s">
        <v>30</v>
      </c>
      <c r="B26" s="427" t="s">
        <v>489</v>
      </c>
      <c r="C26" s="427"/>
      <c r="D26" s="427"/>
      <c r="E26" s="91"/>
      <c r="F26" s="91"/>
      <c r="G26" s="91"/>
      <c r="H26" s="91"/>
      <c r="I26" s="7"/>
    </row>
    <row r="27" spans="1:9" s="84" customFormat="1" ht="17.25" customHeight="1">
      <c r="A27" s="418" t="s">
        <v>430</v>
      </c>
      <c r="B27" s="418"/>
      <c r="C27" s="418"/>
      <c r="D27" s="418"/>
      <c r="E27" s="418"/>
      <c r="F27" s="418"/>
      <c r="G27" s="418"/>
      <c r="H27" s="418"/>
      <c r="I27" s="83"/>
    </row>
    <row r="28" spans="1:9" s="84" customFormat="1" ht="17.25" customHeight="1">
      <c r="A28" s="418" t="s">
        <v>515</v>
      </c>
      <c r="B28" s="418"/>
      <c r="C28" s="418"/>
      <c r="D28" s="418"/>
      <c r="E28" s="418"/>
      <c r="F28" s="418"/>
      <c r="G28" s="418"/>
      <c r="H28" s="418"/>
      <c r="I28" s="83"/>
    </row>
    <row r="29" spans="1:9" ht="15.75" customHeight="1">
      <c r="A29" s="430" t="s">
        <v>21</v>
      </c>
      <c r="B29" s="430"/>
      <c r="C29" s="91"/>
      <c r="D29" s="1"/>
      <c r="E29" s="428"/>
      <c r="F29" s="428"/>
      <c r="G29" s="426"/>
      <c r="H29" s="426"/>
      <c r="I29" s="14"/>
    </row>
    <row r="30" spans="1:9" ht="21" customHeight="1">
      <c r="A30" s="430" t="s">
        <v>22</v>
      </c>
      <c r="B30" s="430"/>
      <c r="C30" s="430"/>
      <c r="D30" s="430"/>
      <c r="E30" s="430"/>
      <c r="F30" s="430"/>
      <c r="G30" s="95"/>
      <c r="H30" s="95"/>
      <c r="I30" s="4"/>
    </row>
    <row r="31" spans="1:9" ht="15" customHeight="1">
      <c r="A31" s="435" t="s">
        <v>23</v>
      </c>
      <c r="B31" s="435"/>
      <c r="C31" s="435"/>
      <c r="D31" s="435"/>
      <c r="E31" s="435"/>
      <c r="F31" s="435"/>
      <c r="G31" s="96"/>
      <c r="H31" s="95"/>
      <c r="I31" s="4"/>
    </row>
    <row r="32" spans="1:8" ht="0.75" customHeight="1">
      <c r="A32" s="97"/>
      <c r="B32" s="98"/>
      <c r="C32" s="98"/>
      <c r="D32" s="98"/>
      <c r="E32" s="98"/>
      <c r="F32" s="98"/>
      <c r="G32" s="98"/>
      <c r="H32" s="98"/>
    </row>
    <row r="33" spans="1:8" ht="39" customHeight="1">
      <c r="A33" s="430" t="s">
        <v>132</v>
      </c>
      <c r="B33" s="430"/>
      <c r="C33" s="430"/>
      <c r="D33" s="420" t="s">
        <v>491</v>
      </c>
      <c r="E33" s="420"/>
      <c r="F33" s="420"/>
      <c r="G33" s="420"/>
      <c r="H33" s="98"/>
    </row>
    <row r="34" spans="1:8" ht="18" customHeight="1">
      <c r="A34" s="92"/>
      <c r="B34" s="92"/>
      <c r="C34" s="92"/>
      <c r="D34" s="99"/>
      <c r="E34" s="99"/>
      <c r="F34" s="99"/>
      <c r="G34" s="99"/>
      <c r="H34" s="98"/>
    </row>
    <row r="35" spans="1:8" ht="15" customHeight="1">
      <c r="A35" s="419" t="s">
        <v>24</v>
      </c>
      <c r="B35" s="419"/>
      <c r="C35" s="419"/>
      <c r="D35" s="419"/>
      <c r="E35" s="419"/>
      <c r="F35" s="419"/>
      <c r="G35" s="419"/>
      <c r="H35" s="419"/>
    </row>
    <row r="36" spans="1:8" ht="16.5" customHeight="1">
      <c r="A36" s="431" t="s">
        <v>25</v>
      </c>
      <c r="B36" s="431"/>
      <c r="C36" s="431"/>
      <c r="D36" s="431"/>
      <c r="E36" s="100"/>
      <c r="F36" s="100"/>
      <c r="G36" s="100"/>
      <c r="H36" s="100"/>
    </row>
    <row r="37" spans="1:8" ht="28.5" customHeight="1">
      <c r="A37" s="429" t="s">
        <v>492</v>
      </c>
      <c r="B37" s="429"/>
      <c r="C37" s="429"/>
      <c r="D37" s="429"/>
      <c r="E37" s="429"/>
      <c r="F37" s="429"/>
      <c r="G37" s="429"/>
      <c r="H37" s="429"/>
    </row>
    <row r="38" spans="1:8" ht="19.5" customHeight="1">
      <c r="A38" s="431" t="s">
        <v>26</v>
      </c>
      <c r="B38" s="431"/>
      <c r="C38" s="431"/>
      <c r="D38" s="431"/>
      <c r="E38" s="100"/>
      <c r="F38" s="100"/>
      <c r="G38" s="100"/>
      <c r="H38" s="100"/>
    </row>
    <row r="39" spans="1:7" s="101" customFormat="1" ht="18" customHeight="1">
      <c r="A39" s="417" t="s">
        <v>493</v>
      </c>
      <c r="B39" s="417"/>
      <c r="C39" s="417"/>
      <c r="D39" s="417"/>
      <c r="E39" s="417" t="s">
        <v>494</v>
      </c>
      <c r="F39" s="417"/>
      <c r="G39" s="417"/>
    </row>
    <row r="40" spans="1:7" s="101" customFormat="1" ht="18" customHeight="1">
      <c r="A40" s="417" t="s">
        <v>495</v>
      </c>
      <c r="B40" s="417"/>
      <c r="C40" s="417"/>
      <c r="D40" s="417"/>
      <c r="E40" s="417" t="s">
        <v>496</v>
      </c>
      <c r="F40" s="417"/>
      <c r="G40" s="417"/>
    </row>
    <row r="41" spans="1:7" s="101" customFormat="1" ht="18" customHeight="1">
      <c r="A41" s="417" t="s">
        <v>497</v>
      </c>
      <c r="B41" s="417"/>
      <c r="C41" s="417"/>
      <c r="D41" s="417"/>
      <c r="E41" s="417" t="s">
        <v>498</v>
      </c>
      <c r="F41" s="417"/>
      <c r="G41" s="417"/>
    </row>
    <row r="42" spans="1:7" s="101" customFormat="1" ht="18" customHeight="1">
      <c r="A42" s="417" t="s">
        <v>499</v>
      </c>
      <c r="B42" s="417"/>
      <c r="C42" s="417"/>
      <c r="D42" s="417"/>
      <c r="E42" s="417" t="s">
        <v>500</v>
      </c>
      <c r="F42" s="417"/>
      <c r="G42" s="417"/>
    </row>
    <row r="43" spans="1:7" s="101" customFormat="1" ht="18" customHeight="1">
      <c r="A43" s="417" t="s">
        <v>510</v>
      </c>
      <c r="B43" s="417"/>
      <c r="C43" s="417"/>
      <c r="D43" s="417"/>
      <c r="E43" s="417" t="s">
        <v>501</v>
      </c>
      <c r="F43" s="417"/>
      <c r="G43" s="417"/>
    </row>
    <row r="44" spans="1:7" s="101" customFormat="1" ht="18" customHeight="1">
      <c r="A44" s="417" t="s">
        <v>502</v>
      </c>
      <c r="B44" s="417"/>
      <c r="C44" s="417"/>
      <c r="D44" s="417"/>
      <c r="E44" s="417" t="s">
        <v>503</v>
      </c>
      <c r="F44" s="417"/>
      <c r="G44" s="417"/>
    </row>
    <row r="45" spans="1:7" s="101" customFormat="1" ht="32.25" customHeight="1">
      <c r="A45" s="417" t="s">
        <v>504</v>
      </c>
      <c r="B45" s="417"/>
      <c r="C45" s="417"/>
      <c r="D45" s="417"/>
      <c r="E45" s="417" t="s">
        <v>505</v>
      </c>
      <c r="F45" s="417"/>
      <c r="G45" s="417"/>
    </row>
    <row r="46" spans="1:7" s="101" customFormat="1" ht="18" customHeight="1">
      <c r="A46" s="417" t="s">
        <v>506</v>
      </c>
      <c r="B46" s="417"/>
      <c r="C46" s="417"/>
      <c r="D46" s="417"/>
      <c r="E46" s="417" t="s">
        <v>507</v>
      </c>
      <c r="F46" s="417"/>
      <c r="G46" s="417"/>
    </row>
    <row r="47" spans="1:7" s="101" customFormat="1" ht="18" customHeight="1">
      <c r="A47" s="417" t="s">
        <v>508</v>
      </c>
      <c r="B47" s="417"/>
      <c r="C47" s="417"/>
      <c r="D47" s="417"/>
      <c r="E47" s="417" t="s">
        <v>509</v>
      </c>
      <c r="F47" s="417"/>
      <c r="G47" s="417"/>
    </row>
    <row r="48" spans="1:8" s="18" customFormat="1" ht="30.75" customHeight="1">
      <c r="A48" s="451" t="s">
        <v>135</v>
      </c>
      <c r="B48" s="451"/>
      <c r="C48" s="451"/>
      <c r="D48" s="451"/>
      <c r="E48" s="451"/>
      <c r="F48" s="451"/>
      <c r="G48" s="451"/>
      <c r="H48" s="451"/>
    </row>
    <row r="49" spans="1:7" s="101" customFormat="1" ht="18" customHeight="1">
      <c r="A49" s="416" t="s">
        <v>511</v>
      </c>
      <c r="B49" s="416"/>
      <c r="C49" s="416"/>
      <c r="D49" s="416"/>
      <c r="E49" s="416"/>
      <c r="F49" s="416"/>
      <c r="G49" s="416"/>
    </row>
    <row r="50" spans="1:7" s="101" customFormat="1" ht="18" customHeight="1">
      <c r="A50" s="416" t="s">
        <v>512</v>
      </c>
      <c r="B50" s="416"/>
      <c r="C50" s="416"/>
      <c r="D50" s="416"/>
      <c r="E50" s="416"/>
      <c r="F50" s="416"/>
      <c r="G50" s="416"/>
    </row>
    <row r="51" spans="1:7" s="101" customFormat="1" ht="18" customHeight="1">
      <c r="A51" s="416" t="s">
        <v>513</v>
      </c>
      <c r="B51" s="416"/>
      <c r="C51" s="416"/>
      <c r="D51" s="416"/>
      <c r="E51" s="416"/>
      <c r="F51" s="416"/>
      <c r="G51" s="416"/>
    </row>
    <row r="52" spans="1:7" s="101" customFormat="1" ht="18" customHeight="1">
      <c r="A52" s="416" t="s">
        <v>514</v>
      </c>
      <c r="B52" s="416"/>
      <c r="C52" s="416"/>
      <c r="D52" s="416"/>
      <c r="E52" s="416"/>
      <c r="F52" s="416"/>
      <c r="G52" s="416"/>
    </row>
    <row r="53" spans="1:256" s="18" customFormat="1" ht="19.5" customHeight="1">
      <c r="A53" s="423" t="s">
        <v>537</v>
      </c>
      <c r="B53" s="423"/>
      <c r="C53" s="423"/>
      <c r="D53" s="423"/>
      <c r="E53" s="423"/>
      <c r="F53" s="423"/>
      <c r="G53" s="423"/>
      <c r="H53" s="423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2"/>
      <c r="DO53" s="422"/>
      <c r="DP53" s="422"/>
      <c r="DQ53" s="422"/>
      <c r="DR53" s="422"/>
      <c r="DS53" s="422"/>
      <c r="DT53" s="422"/>
      <c r="DU53" s="422"/>
      <c r="DV53" s="422"/>
      <c r="DW53" s="422"/>
      <c r="DX53" s="422"/>
      <c r="DY53" s="422"/>
      <c r="DZ53" s="422"/>
      <c r="EA53" s="422"/>
      <c r="EB53" s="422"/>
      <c r="EC53" s="422"/>
      <c r="ED53" s="422"/>
      <c r="EE53" s="422"/>
      <c r="EF53" s="422"/>
      <c r="EG53" s="422"/>
      <c r="EH53" s="422"/>
      <c r="EI53" s="422"/>
      <c r="EJ53" s="422"/>
      <c r="EK53" s="422"/>
      <c r="EL53" s="422"/>
      <c r="EM53" s="422"/>
      <c r="EN53" s="422"/>
      <c r="EO53" s="422"/>
      <c r="EP53" s="422"/>
      <c r="EQ53" s="422"/>
      <c r="ER53" s="422"/>
      <c r="ES53" s="422"/>
      <c r="ET53" s="422"/>
      <c r="EU53" s="422"/>
      <c r="EV53" s="422"/>
      <c r="EW53" s="422"/>
      <c r="EX53" s="422"/>
      <c r="EY53" s="422"/>
      <c r="EZ53" s="422"/>
      <c r="FA53" s="422"/>
      <c r="FB53" s="422"/>
      <c r="FC53" s="422"/>
      <c r="FD53" s="422"/>
      <c r="FE53" s="422"/>
      <c r="FF53" s="422"/>
      <c r="FG53" s="422"/>
      <c r="FH53" s="422"/>
      <c r="FI53" s="422"/>
      <c r="FJ53" s="422"/>
      <c r="FK53" s="422"/>
      <c r="FL53" s="422"/>
      <c r="FM53" s="422"/>
      <c r="FN53" s="422"/>
      <c r="FO53" s="422"/>
      <c r="FP53" s="422"/>
      <c r="FQ53" s="422"/>
      <c r="FR53" s="422"/>
      <c r="FS53" s="422"/>
      <c r="FT53" s="422"/>
      <c r="FU53" s="422"/>
      <c r="FV53" s="422"/>
      <c r="FW53" s="422"/>
      <c r="FX53" s="422"/>
      <c r="FY53" s="422"/>
      <c r="FZ53" s="422"/>
      <c r="GA53" s="422"/>
      <c r="GB53" s="422"/>
      <c r="GC53" s="422"/>
      <c r="GD53" s="422"/>
      <c r="GE53" s="422"/>
      <c r="GF53" s="422"/>
      <c r="GG53" s="422"/>
      <c r="GH53" s="422"/>
      <c r="GI53" s="422"/>
      <c r="GJ53" s="422"/>
      <c r="GK53" s="422"/>
      <c r="GL53" s="422"/>
      <c r="GM53" s="422"/>
      <c r="GN53" s="422"/>
      <c r="GO53" s="422"/>
      <c r="GP53" s="422"/>
      <c r="GQ53" s="422"/>
      <c r="GR53" s="422"/>
      <c r="GS53" s="422"/>
      <c r="GT53" s="422"/>
      <c r="GU53" s="422"/>
      <c r="GV53" s="422"/>
      <c r="GW53" s="422"/>
      <c r="GX53" s="422"/>
      <c r="GY53" s="422"/>
      <c r="GZ53" s="422"/>
      <c r="HA53" s="422"/>
      <c r="HB53" s="422"/>
      <c r="HC53" s="422"/>
      <c r="HD53" s="422"/>
      <c r="HE53" s="422"/>
      <c r="HF53" s="422"/>
      <c r="HG53" s="422"/>
      <c r="HH53" s="422"/>
      <c r="HI53" s="422"/>
      <c r="HJ53" s="422"/>
      <c r="HK53" s="422"/>
      <c r="HL53" s="422"/>
      <c r="HM53" s="422"/>
      <c r="HN53" s="422"/>
      <c r="HO53" s="422"/>
      <c r="HP53" s="422"/>
      <c r="HQ53" s="422"/>
      <c r="HR53" s="422"/>
      <c r="HS53" s="422"/>
      <c r="HT53" s="422"/>
      <c r="HU53" s="422"/>
      <c r="HV53" s="422"/>
      <c r="HW53" s="422"/>
      <c r="HX53" s="422"/>
      <c r="HY53" s="422"/>
      <c r="HZ53" s="422"/>
      <c r="IA53" s="422"/>
      <c r="IB53" s="422"/>
      <c r="IC53" s="422"/>
      <c r="ID53" s="422"/>
      <c r="IE53" s="422"/>
      <c r="IF53" s="422"/>
      <c r="IG53" s="422"/>
      <c r="IH53" s="422"/>
      <c r="II53" s="422"/>
      <c r="IJ53" s="422"/>
      <c r="IK53" s="422"/>
      <c r="IL53" s="422"/>
      <c r="IM53" s="422"/>
      <c r="IN53" s="422"/>
      <c r="IO53" s="422"/>
      <c r="IP53" s="422"/>
      <c r="IQ53" s="422"/>
      <c r="IR53" s="422"/>
      <c r="IS53" s="422"/>
      <c r="IT53" s="422"/>
      <c r="IU53" s="422"/>
      <c r="IV53" s="422"/>
    </row>
    <row r="54" spans="1:256" s="18" customFormat="1" ht="15.75" customHeight="1">
      <c r="A54" s="423" t="s">
        <v>536</v>
      </c>
      <c r="B54" s="423"/>
      <c r="C54" s="423"/>
      <c r="D54" s="423"/>
      <c r="E54" s="423"/>
      <c r="F54" s="423"/>
      <c r="G54" s="423"/>
      <c r="H54" s="423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2"/>
      <c r="AS54" s="422"/>
      <c r="AT54" s="422"/>
      <c r="AU54" s="422"/>
      <c r="AV54" s="422"/>
      <c r="AW54" s="422"/>
      <c r="AX54" s="422"/>
      <c r="AY54" s="422"/>
      <c r="AZ54" s="422"/>
      <c r="BA54" s="422"/>
      <c r="BB54" s="422"/>
      <c r="BC54" s="422"/>
      <c r="BD54" s="422"/>
      <c r="BE54" s="422"/>
      <c r="BF54" s="422"/>
      <c r="BG54" s="422"/>
      <c r="BH54" s="422"/>
      <c r="BI54" s="422"/>
      <c r="BJ54" s="422"/>
      <c r="BK54" s="422"/>
      <c r="BL54" s="422"/>
      <c r="BM54" s="422"/>
      <c r="BN54" s="422"/>
      <c r="BO54" s="422"/>
      <c r="BP54" s="422"/>
      <c r="BQ54" s="422"/>
      <c r="BR54" s="422"/>
      <c r="BS54" s="422"/>
      <c r="BT54" s="422"/>
      <c r="BU54" s="422"/>
      <c r="BV54" s="422"/>
      <c r="BW54" s="422"/>
      <c r="BX54" s="422"/>
      <c r="BY54" s="422"/>
      <c r="BZ54" s="422"/>
      <c r="CA54" s="422"/>
      <c r="CB54" s="422"/>
      <c r="CC54" s="422"/>
      <c r="CD54" s="422"/>
      <c r="CE54" s="422"/>
      <c r="CF54" s="422"/>
      <c r="CG54" s="422"/>
      <c r="CH54" s="422"/>
      <c r="CI54" s="422"/>
      <c r="CJ54" s="422"/>
      <c r="CK54" s="422"/>
      <c r="CL54" s="422"/>
      <c r="CM54" s="422"/>
      <c r="CN54" s="422"/>
      <c r="CO54" s="422"/>
      <c r="CP54" s="422"/>
      <c r="CQ54" s="422"/>
      <c r="CR54" s="422"/>
      <c r="CS54" s="422"/>
      <c r="CT54" s="422"/>
      <c r="CU54" s="422"/>
      <c r="CV54" s="422"/>
      <c r="CW54" s="422"/>
      <c r="CX54" s="422"/>
      <c r="CY54" s="422"/>
      <c r="CZ54" s="422"/>
      <c r="DA54" s="422"/>
      <c r="DB54" s="422"/>
      <c r="DC54" s="422"/>
      <c r="DD54" s="422"/>
      <c r="DE54" s="422"/>
      <c r="DF54" s="422"/>
      <c r="DG54" s="422"/>
      <c r="DH54" s="422"/>
      <c r="DI54" s="422"/>
      <c r="DJ54" s="422"/>
      <c r="DK54" s="422"/>
      <c r="DL54" s="422"/>
      <c r="DM54" s="422"/>
      <c r="DN54" s="422"/>
      <c r="DO54" s="422"/>
      <c r="DP54" s="422"/>
      <c r="DQ54" s="422"/>
      <c r="DR54" s="422"/>
      <c r="DS54" s="422"/>
      <c r="DT54" s="422"/>
      <c r="DU54" s="422"/>
      <c r="DV54" s="422"/>
      <c r="DW54" s="422"/>
      <c r="DX54" s="422"/>
      <c r="DY54" s="422"/>
      <c r="DZ54" s="422"/>
      <c r="EA54" s="422"/>
      <c r="EB54" s="422"/>
      <c r="EC54" s="422"/>
      <c r="ED54" s="422"/>
      <c r="EE54" s="422"/>
      <c r="EF54" s="422"/>
      <c r="EG54" s="422"/>
      <c r="EH54" s="422"/>
      <c r="EI54" s="422"/>
      <c r="EJ54" s="422"/>
      <c r="EK54" s="422"/>
      <c r="EL54" s="422"/>
      <c r="EM54" s="422"/>
      <c r="EN54" s="422"/>
      <c r="EO54" s="422"/>
      <c r="EP54" s="422"/>
      <c r="EQ54" s="422"/>
      <c r="ER54" s="422"/>
      <c r="ES54" s="422"/>
      <c r="ET54" s="422"/>
      <c r="EU54" s="422"/>
      <c r="EV54" s="422"/>
      <c r="EW54" s="422"/>
      <c r="EX54" s="422"/>
      <c r="EY54" s="422"/>
      <c r="EZ54" s="422"/>
      <c r="FA54" s="422"/>
      <c r="FB54" s="422"/>
      <c r="FC54" s="422"/>
      <c r="FD54" s="422"/>
      <c r="FE54" s="422"/>
      <c r="FF54" s="422"/>
      <c r="FG54" s="422"/>
      <c r="FH54" s="422"/>
      <c r="FI54" s="422"/>
      <c r="FJ54" s="422"/>
      <c r="FK54" s="422"/>
      <c r="FL54" s="422"/>
      <c r="FM54" s="422"/>
      <c r="FN54" s="422"/>
      <c r="FO54" s="422"/>
      <c r="FP54" s="422"/>
      <c r="FQ54" s="422"/>
      <c r="FR54" s="422"/>
      <c r="FS54" s="422"/>
      <c r="FT54" s="422"/>
      <c r="FU54" s="422"/>
      <c r="FV54" s="422"/>
      <c r="FW54" s="422"/>
      <c r="FX54" s="422"/>
      <c r="FY54" s="422"/>
      <c r="FZ54" s="422"/>
      <c r="GA54" s="422"/>
      <c r="GB54" s="422"/>
      <c r="GC54" s="422"/>
      <c r="GD54" s="422"/>
      <c r="GE54" s="422"/>
      <c r="GF54" s="422"/>
      <c r="GG54" s="422"/>
      <c r="GH54" s="422"/>
      <c r="GI54" s="422"/>
      <c r="GJ54" s="422"/>
      <c r="GK54" s="422"/>
      <c r="GL54" s="422"/>
      <c r="GM54" s="422"/>
      <c r="GN54" s="422"/>
      <c r="GO54" s="422"/>
      <c r="GP54" s="422"/>
      <c r="GQ54" s="422"/>
      <c r="GR54" s="422"/>
      <c r="GS54" s="422"/>
      <c r="GT54" s="422"/>
      <c r="GU54" s="422"/>
      <c r="GV54" s="422"/>
      <c r="GW54" s="422"/>
      <c r="GX54" s="422"/>
      <c r="GY54" s="422"/>
      <c r="GZ54" s="422"/>
      <c r="HA54" s="422"/>
      <c r="HB54" s="422"/>
      <c r="HC54" s="422"/>
      <c r="HD54" s="422"/>
      <c r="HE54" s="422"/>
      <c r="HF54" s="422"/>
      <c r="HG54" s="422"/>
      <c r="HH54" s="422"/>
      <c r="HI54" s="422"/>
      <c r="HJ54" s="422"/>
      <c r="HK54" s="422"/>
      <c r="HL54" s="422"/>
      <c r="HM54" s="422"/>
      <c r="HN54" s="422"/>
      <c r="HO54" s="422"/>
      <c r="HP54" s="422"/>
      <c r="HQ54" s="422"/>
      <c r="HR54" s="422"/>
      <c r="HS54" s="422"/>
      <c r="HT54" s="422"/>
      <c r="HU54" s="422"/>
      <c r="HV54" s="422"/>
      <c r="HW54" s="422"/>
      <c r="HX54" s="422"/>
      <c r="HY54" s="422"/>
      <c r="HZ54" s="422"/>
      <c r="IA54" s="422"/>
      <c r="IB54" s="422"/>
      <c r="IC54" s="422"/>
      <c r="ID54" s="422"/>
      <c r="IE54" s="422"/>
      <c r="IF54" s="422"/>
      <c r="IG54" s="422"/>
      <c r="IH54" s="422"/>
      <c r="II54" s="422"/>
      <c r="IJ54" s="422"/>
      <c r="IK54" s="422"/>
      <c r="IL54" s="422"/>
      <c r="IM54" s="422"/>
      <c r="IN54" s="422"/>
      <c r="IO54" s="422"/>
      <c r="IP54" s="422"/>
      <c r="IQ54" s="422"/>
      <c r="IR54" s="422"/>
      <c r="IS54" s="422"/>
      <c r="IT54" s="422"/>
      <c r="IU54" s="422"/>
      <c r="IV54" s="422"/>
    </row>
    <row r="55" spans="1:8" ht="11.25" customHeight="1">
      <c r="A55" s="422"/>
      <c r="B55" s="422"/>
      <c r="C55" s="422"/>
      <c r="D55" s="422"/>
      <c r="E55" s="422"/>
      <c r="F55" s="422"/>
      <c r="G55" s="422"/>
      <c r="H55" s="422"/>
    </row>
    <row r="56" spans="1:8" ht="11.25" customHeight="1">
      <c r="A56" s="422"/>
      <c r="B56" s="422"/>
      <c r="C56" s="422"/>
      <c r="D56" s="422"/>
      <c r="E56" s="422"/>
      <c r="F56" s="422"/>
      <c r="G56" s="422"/>
      <c r="H56" s="422"/>
    </row>
    <row r="57" spans="1:8" ht="11.25" customHeight="1">
      <c r="A57" s="422"/>
      <c r="B57" s="422"/>
      <c r="C57" s="422"/>
      <c r="D57" s="422"/>
      <c r="E57" s="422"/>
      <c r="F57" s="422"/>
      <c r="G57" s="422"/>
      <c r="H57" s="422"/>
    </row>
    <row r="58" spans="1:8" ht="11.25" customHeight="1">
      <c r="A58" s="421"/>
      <c r="B58" s="421"/>
      <c r="C58" s="421"/>
      <c r="D58" s="421"/>
      <c r="E58" s="421"/>
      <c r="F58" s="421"/>
      <c r="G58" s="421"/>
      <c r="H58" s="421"/>
    </row>
  </sheetData>
  <sheetProtection/>
  <mergeCells count="139">
    <mergeCell ref="IG54:IN54"/>
    <mergeCell ref="HI54:HP54"/>
    <mergeCell ref="HQ54:HX54"/>
    <mergeCell ref="FM54:FT54"/>
    <mergeCell ref="FU54:GB54"/>
    <mergeCell ref="A48:H48"/>
    <mergeCell ref="DI54:DP54"/>
    <mergeCell ref="DQ54:DX54"/>
    <mergeCell ref="DY54:EF54"/>
    <mergeCell ref="BU54:CB54"/>
    <mergeCell ref="IO54:IV54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HY54:IF54"/>
    <mergeCell ref="CC54:CJ54"/>
    <mergeCell ref="CK54:CR54"/>
    <mergeCell ref="CS54:CZ54"/>
    <mergeCell ref="I54:P54"/>
    <mergeCell ref="Q54:X54"/>
    <mergeCell ref="Y54:AF54"/>
    <mergeCell ref="AG54:AN54"/>
    <mergeCell ref="AO54:AV54"/>
    <mergeCell ref="DA54:DH54"/>
    <mergeCell ref="AW54:BD54"/>
    <mergeCell ref="BE54:BL54"/>
    <mergeCell ref="BM54:BT54"/>
    <mergeCell ref="HY53:IF53"/>
    <mergeCell ref="IG53:IN53"/>
    <mergeCell ref="DY53:EF53"/>
    <mergeCell ref="EG53:EN53"/>
    <mergeCell ref="EO53:EV53"/>
    <mergeCell ref="EW53:FD53"/>
    <mergeCell ref="FE53:FL53"/>
    <mergeCell ref="IO53:IV53"/>
    <mergeCell ref="GK53:GR53"/>
    <mergeCell ref="GS53:GZ53"/>
    <mergeCell ref="HA53:HH53"/>
    <mergeCell ref="HI53:HP53"/>
    <mergeCell ref="FM53:FT53"/>
    <mergeCell ref="FU53:GB53"/>
    <mergeCell ref="GC53:GJ53"/>
    <mergeCell ref="HQ53:HX53"/>
    <mergeCell ref="I53:P53"/>
    <mergeCell ref="DA53:DH53"/>
    <mergeCell ref="DI53:DP53"/>
    <mergeCell ref="BE53:BL53"/>
    <mergeCell ref="DQ53:DX53"/>
    <mergeCell ref="BM53:BT53"/>
    <mergeCell ref="BU53:CB53"/>
    <mergeCell ref="CC53:CJ53"/>
    <mergeCell ref="CK53:CR53"/>
    <mergeCell ref="AG53:AN53"/>
    <mergeCell ref="AO53:AV53"/>
    <mergeCell ref="AW53:BD53"/>
    <mergeCell ref="CS53:CZ53"/>
    <mergeCell ref="Q53:X53"/>
    <mergeCell ref="Y53:AF53"/>
    <mergeCell ref="A16:H16"/>
    <mergeCell ref="E20:F20"/>
    <mergeCell ref="E18:F18"/>
    <mergeCell ref="G20:H20"/>
    <mergeCell ref="A27:H27"/>
    <mergeCell ref="I9:I10"/>
    <mergeCell ref="I13:I16"/>
    <mergeCell ref="G21:H21"/>
    <mergeCell ref="G22:H22"/>
    <mergeCell ref="E19:F19"/>
    <mergeCell ref="E11:F11"/>
    <mergeCell ref="E17:F17"/>
    <mergeCell ref="G17:H17"/>
    <mergeCell ref="G19:H19"/>
    <mergeCell ref="G18:H18"/>
    <mergeCell ref="A15:H15"/>
    <mergeCell ref="E23:F2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38:D38"/>
    <mergeCell ref="E9:H9"/>
    <mergeCell ref="A24:F24"/>
    <mergeCell ref="G24:H24"/>
    <mergeCell ref="E12:H12"/>
    <mergeCell ref="G11:H11"/>
    <mergeCell ref="A31:F31"/>
    <mergeCell ref="A13:H13"/>
    <mergeCell ref="A14:H14"/>
    <mergeCell ref="G23:H23"/>
    <mergeCell ref="G29:H29"/>
    <mergeCell ref="B26:D26"/>
    <mergeCell ref="E29:F29"/>
    <mergeCell ref="A37:H37"/>
    <mergeCell ref="A33:C33"/>
    <mergeCell ref="A30:F30"/>
    <mergeCell ref="A29:B29"/>
    <mergeCell ref="A36:D36"/>
    <mergeCell ref="A28:H28"/>
    <mergeCell ref="A35:H35"/>
    <mergeCell ref="D33:G33"/>
    <mergeCell ref="A58:H58"/>
    <mergeCell ref="A55:H55"/>
    <mergeCell ref="A56:H56"/>
    <mergeCell ref="A57:H57"/>
    <mergeCell ref="A53:H53"/>
    <mergeCell ref="A54:H54"/>
    <mergeCell ref="A39:D39"/>
    <mergeCell ref="E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9:G49"/>
    <mergeCell ref="A50:G50"/>
    <mergeCell ref="A51:G51"/>
    <mergeCell ref="A52:G52"/>
    <mergeCell ref="A45:D45"/>
    <mergeCell ref="E45:G45"/>
    <mergeCell ref="A46:D46"/>
    <mergeCell ref="E46:G46"/>
    <mergeCell ref="A47:D47"/>
    <mergeCell ref="E47:G47"/>
  </mergeCells>
  <printOptions/>
  <pageMargins left="0.5118110236220472" right="0.31496062992125984" top="0.25" bottom="0.25" header="0.25" footer="0.26"/>
  <pageSetup horizontalDpi="180" verticalDpi="180" orientation="landscape" paperSize="9" scale="91" r:id="rId1"/>
  <rowBreaks count="1" manualBreakCount="1">
    <brk id="3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F250"/>
  <sheetViews>
    <sheetView view="pageBreakPreview" zoomScale="60" zoomScalePageLayoutView="0" workbookViewId="0" topLeftCell="A70">
      <selection activeCell="F81" sqref="F81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17.28125" style="187" customWidth="1"/>
    <col min="6" max="6" width="20.8515625" style="187" customWidth="1"/>
    <col min="7" max="7" width="16.8515625" style="187" customWidth="1"/>
    <col min="8" max="8" width="16.2812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2" width="18.00390625" style="187" bestFit="1" customWidth="1"/>
    <col min="13" max="13" width="15.421875" style="187" customWidth="1"/>
    <col min="14" max="16384" width="9.140625" style="187" customWidth="1"/>
  </cols>
  <sheetData>
    <row r="1" spans="5:6" ht="15.75" customHeight="1">
      <c r="E1" s="501"/>
      <c r="F1" s="501"/>
    </row>
    <row r="2" spans="1:26" s="191" customFormat="1" ht="40.5" customHeight="1">
      <c r="A2" s="502" t="s">
        <v>541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503"/>
      <c r="C3" s="503"/>
      <c r="D3" s="503"/>
      <c r="E3" s="503"/>
      <c r="F3" s="503"/>
      <c r="G3" s="503"/>
      <c r="H3" s="503"/>
      <c r="I3" s="503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504" t="s">
        <v>542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</row>
    <row r="5" spans="2:31" ht="15.75" customHeight="1">
      <c r="B5" s="187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</row>
    <row r="6" spans="2:31" ht="15.75" customHeight="1">
      <c r="B6" s="194" t="s">
        <v>543</v>
      </c>
      <c r="C6" s="194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</row>
    <row r="7" spans="2:31" ht="15.75" customHeight="1">
      <c r="B7" s="187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</row>
    <row r="8" spans="2:31" ht="15.75" customHeight="1">
      <c r="B8" s="194" t="s">
        <v>544</v>
      </c>
      <c r="C8" s="194"/>
      <c r="D8" s="194" t="s">
        <v>705</v>
      </c>
      <c r="E8" s="194"/>
      <c r="F8" s="193"/>
      <c r="G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</row>
    <row r="9" spans="2:31" ht="15.75" customHeight="1">
      <c r="B9" s="187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</row>
    <row r="10" spans="2:31" ht="15.75" customHeight="1">
      <c r="B10" s="195" t="s">
        <v>546</v>
      </c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</row>
    <row r="11" spans="2:31" ht="15.75" customHeight="1">
      <c r="B11" s="187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</row>
    <row r="12" spans="1:83" ht="48" customHeight="1">
      <c r="A12" s="505" t="s">
        <v>547</v>
      </c>
      <c r="B12" s="506" t="s">
        <v>548</v>
      </c>
      <c r="C12" s="506" t="s">
        <v>549</v>
      </c>
      <c r="D12" s="509" t="s">
        <v>550</v>
      </c>
      <c r="E12" s="510"/>
      <c r="F12" s="510"/>
      <c r="G12" s="511"/>
      <c r="H12" s="512" t="s">
        <v>551</v>
      </c>
      <c r="I12" s="512" t="s">
        <v>552</v>
      </c>
      <c r="J12" s="512" t="s">
        <v>553</v>
      </c>
      <c r="K12" s="515" t="s">
        <v>554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3"/>
      <c r="BY12" s="193"/>
      <c r="BZ12" s="193"/>
      <c r="CA12" s="193"/>
      <c r="CB12" s="193"/>
      <c r="CC12" s="193"/>
      <c r="CD12" s="193"/>
      <c r="CE12" s="193"/>
    </row>
    <row r="13" spans="1:73" ht="15.75" customHeight="1">
      <c r="A13" s="505"/>
      <c r="B13" s="507"/>
      <c r="C13" s="507"/>
      <c r="D13" s="197" t="s">
        <v>36</v>
      </c>
      <c r="E13" s="516" t="s">
        <v>4</v>
      </c>
      <c r="F13" s="517"/>
      <c r="G13" s="517"/>
      <c r="H13" s="513"/>
      <c r="I13" s="513"/>
      <c r="J13" s="513"/>
      <c r="K13" s="51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</row>
    <row r="14" spans="1:31" ht="46.5" customHeight="1">
      <c r="A14" s="505"/>
      <c r="B14" s="508"/>
      <c r="C14" s="508"/>
      <c r="D14" s="199"/>
      <c r="E14" s="200" t="s">
        <v>555</v>
      </c>
      <c r="F14" s="200" t="s">
        <v>556</v>
      </c>
      <c r="G14" s="198" t="s">
        <v>557</v>
      </c>
      <c r="H14" s="514"/>
      <c r="I14" s="514"/>
      <c r="J14" s="514"/>
      <c r="K14" s="51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3"/>
      <c r="AB14" s="193"/>
      <c r="AC14" s="193"/>
      <c r="AD14" s="193"/>
      <c r="AE14" s="193"/>
    </row>
    <row r="15" spans="1:31" ht="15.75" customHeight="1">
      <c r="A15" s="201">
        <v>1</v>
      </c>
      <c r="B15" s="202">
        <v>2</v>
      </c>
      <c r="C15" s="202">
        <v>3</v>
      </c>
      <c r="D15" s="203">
        <v>4</v>
      </c>
      <c r="E15" s="204">
        <v>5</v>
      </c>
      <c r="F15" s="205">
        <v>6</v>
      </c>
      <c r="G15" s="202">
        <v>7</v>
      </c>
      <c r="H15" s="202">
        <v>8</v>
      </c>
      <c r="I15" s="202">
        <v>9</v>
      </c>
      <c r="J15" s="205">
        <v>10</v>
      </c>
      <c r="K15" s="205">
        <v>11</v>
      </c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193"/>
      <c r="AB15" s="193"/>
      <c r="AC15" s="193"/>
      <c r="AD15" s="193"/>
      <c r="AE15" s="193"/>
    </row>
    <row r="16" spans="1:31" ht="15.75" customHeight="1">
      <c r="A16" s="207"/>
      <c r="B16" s="208" t="s">
        <v>558</v>
      </c>
      <c r="C16" s="333">
        <v>2</v>
      </c>
      <c r="D16" s="333">
        <f>SUM(E16:G16)</f>
        <v>3120</v>
      </c>
      <c r="E16" s="240">
        <v>0</v>
      </c>
      <c r="F16" s="240">
        <v>0</v>
      </c>
      <c r="G16" s="333">
        <v>3120</v>
      </c>
      <c r="H16" s="333">
        <v>0</v>
      </c>
      <c r="I16" s="333">
        <v>1.15</v>
      </c>
      <c r="J16" s="334">
        <f>(C16*D16*(1+H16/100)*I16*12)</f>
        <v>86111.99999999999</v>
      </c>
      <c r="K16" s="212" t="s">
        <v>559</v>
      </c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193"/>
      <c r="AB16" s="193"/>
      <c r="AC16" s="193"/>
      <c r="AD16" s="193"/>
      <c r="AE16" s="193"/>
    </row>
    <row r="17" spans="1:31" ht="15.75" customHeight="1">
      <c r="A17" s="207"/>
      <c r="B17" s="208" t="s">
        <v>560</v>
      </c>
      <c r="C17" s="333">
        <v>3</v>
      </c>
      <c r="D17" s="333">
        <f>SUM(E17:G17)</f>
        <v>2500</v>
      </c>
      <c r="E17" s="240">
        <v>0</v>
      </c>
      <c r="F17" s="240">
        <v>0</v>
      </c>
      <c r="G17" s="333">
        <f>2500</f>
        <v>2500</v>
      </c>
      <c r="H17" s="333">
        <v>0</v>
      </c>
      <c r="I17" s="333">
        <v>1.15</v>
      </c>
      <c r="J17" s="334">
        <f>(C17*D17*(1+H17/100)*I17*12)</f>
        <v>103500</v>
      </c>
      <c r="K17" s="212" t="s">
        <v>559</v>
      </c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193"/>
      <c r="AB17" s="193"/>
      <c r="AC17" s="193"/>
      <c r="AD17" s="193"/>
      <c r="AE17" s="193"/>
    </row>
    <row r="18" spans="1:31" ht="15.75" customHeight="1">
      <c r="A18" s="207"/>
      <c r="B18" s="208" t="s">
        <v>561</v>
      </c>
      <c r="C18" s="333">
        <v>44</v>
      </c>
      <c r="D18" s="333">
        <f>SUM(E18:G18)</f>
        <v>4285.22</v>
      </c>
      <c r="E18" s="240">
        <v>0</v>
      </c>
      <c r="F18" s="240">
        <v>0</v>
      </c>
      <c r="G18" s="333">
        <f>3689.69-18.69+614.22</f>
        <v>4285.22</v>
      </c>
      <c r="H18" s="333">
        <v>0</v>
      </c>
      <c r="I18" s="333">
        <v>1.15</v>
      </c>
      <c r="J18" s="334">
        <f>(C18*D18*(1+H18/100)*I18*12)</f>
        <v>2601985.5840000003</v>
      </c>
      <c r="K18" s="212" t="s">
        <v>559</v>
      </c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193"/>
      <c r="AB18" s="193"/>
      <c r="AC18" s="193"/>
      <c r="AD18" s="193"/>
      <c r="AE18" s="193"/>
    </row>
    <row r="19" spans="1:31" s="195" customFormat="1" ht="15.75" customHeight="1">
      <c r="A19" s="220"/>
      <c r="B19" s="392"/>
      <c r="C19" s="352">
        <f>SUM(C16:C18)</f>
        <v>49</v>
      </c>
      <c r="D19" s="352"/>
      <c r="E19" s="353"/>
      <c r="F19" s="353"/>
      <c r="G19" s="352"/>
      <c r="H19" s="352"/>
      <c r="I19" s="352"/>
      <c r="J19" s="292">
        <f>SUM(J16:J18)</f>
        <v>2791597.5840000003</v>
      </c>
      <c r="K19" s="393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224"/>
      <c r="AB19" s="224"/>
      <c r="AC19" s="224"/>
      <c r="AD19" s="224"/>
      <c r="AE19" s="224"/>
    </row>
    <row r="20" spans="1:31" ht="15.75" customHeight="1">
      <c r="A20" s="207"/>
      <c r="B20" s="208" t="s">
        <v>561</v>
      </c>
      <c r="C20" s="333">
        <v>2</v>
      </c>
      <c r="D20" s="333">
        <f>SUM(E20:G20)</f>
        <v>100000</v>
      </c>
      <c r="E20" s="240">
        <v>0</v>
      </c>
      <c r="F20" s="240">
        <v>100000</v>
      </c>
      <c r="G20" s="333">
        <v>0</v>
      </c>
      <c r="H20" s="333">
        <v>0</v>
      </c>
      <c r="I20" s="333">
        <v>1.15</v>
      </c>
      <c r="J20" s="334">
        <f>D20</f>
        <v>100000</v>
      </c>
      <c r="K20" s="212" t="s">
        <v>559</v>
      </c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193"/>
      <c r="AB20" s="193"/>
      <c r="AC20" s="193"/>
      <c r="AD20" s="193"/>
      <c r="AE20" s="193"/>
    </row>
    <row r="21" spans="1:31" ht="15.75" customHeight="1">
      <c r="A21" s="207"/>
      <c r="B21" s="208" t="s">
        <v>561</v>
      </c>
      <c r="C21" s="333">
        <v>1</v>
      </c>
      <c r="D21" s="333">
        <f>SUM(E21:G21)</f>
        <v>90000</v>
      </c>
      <c r="E21" s="240">
        <v>0</v>
      </c>
      <c r="F21" s="240">
        <v>90000</v>
      </c>
      <c r="G21" s="333">
        <v>0</v>
      </c>
      <c r="H21" s="333">
        <v>0</v>
      </c>
      <c r="I21" s="333" t="s">
        <v>564</v>
      </c>
      <c r="J21" s="334">
        <f>D21</f>
        <v>90000</v>
      </c>
      <c r="K21" s="212" t="s">
        <v>559</v>
      </c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193"/>
      <c r="AB21" s="193"/>
      <c r="AC21" s="193"/>
      <c r="AD21" s="193"/>
      <c r="AE21" s="193"/>
    </row>
    <row r="22" spans="1:31" ht="15.75" customHeight="1">
      <c r="A22" s="207"/>
      <c r="B22" s="208" t="s">
        <v>751</v>
      </c>
      <c r="C22" s="333"/>
      <c r="D22" s="333"/>
      <c r="E22" s="240"/>
      <c r="F22" s="240"/>
      <c r="G22" s="333"/>
      <c r="H22" s="333"/>
      <c r="I22" s="333"/>
      <c r="J22" s="334">
        <v>14775.84</v>
      </c>
      <c r="K22" s="212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193"/>
      <c r="AB22" s="193"/>
      <c r="AC22" s="193"/>
      <c r="AD22" s="193"/>
      <c r="AE22" s="193"/>
    </row>
    <row r="23" spans="1:31" ht="15.75" customHeight="1">
      <c r="A23" s="207"/>
      <c r="B23" s="214" t="s">
        <v>563</v>
      </c>
      <c r="C23" s="335" t="s">
        <v>564</v>
      </c>
      <c r="D23" s="335"/>
      <c r="E23" s="306" t="s">
        <v>564</v>
      </c>
      <c r="F23" s="306" t="s">
        <v>564</v>
      </c>
      <c r="G23" s="335" t="s">
        <v>564</v>
      </c>
      <c r="H23" s="335" t="s">
        <v>564</v>
      </c>
      <c r="I23" s="335" t="s">
        <v>564</v>
      </c>
      <c r="J23" s="336">
        <f>SUM(J19:J22)</f>
        <v>2996373.424</v>
      </c>
      <c r="K23" s="204" t="s">
        <v>564</v>
      </c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193"/>
      <c r="AB23" s="193"/>
      <c r="AC23" s="193"/>
      <c r="AD23" s="193"/>
      <c r="AE23" s="193"/>
    </row>
    <row r="24" spans="1:31" ht="15.75" customHeight="1">
      <c r="A24" s="207"/>
      <c r="B24" s="208" t="s">
        <v>558</v>
      </c>
      <c r="C24" s="337"/>
      <c r="D24" s="337"/>
      <c r="E24" s="334"/>
      <c r="F24" s="334"/>
      <c r="G24" s="338"/>
      <c r="H24" s="338"/>
      <c r="I24" s="338"/>
      <c r="J24" s="334">
        <f>(C24*D24*(1+H24/100)*I24*12)</f>
        <v>0</v>
      </c>
      <c r="K24" s="212" t="s">
        <v>565</v>
      </c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193"/>
      <c r="AB24" s="193"/>
      <c r="AC24" s="193"/>
      <c r="AD24" s="193"/>
      <c r="AE24" s="193"/>
    </row>
    <row r="25" spans="1:31" ht="15.75" customHeight="1">
      <c r="A25" s="207"/>
      <c r="B25" s="208" t="s">
        <v>560</v>
      </c>
      <c r="C25" s="337"/>
      <c r="D25" s="337"/>
      <c r="E25" s="334"/>
      <c r="F25" s="334"/>
      <c r="G25" s="338"/>
      <c r="H25" s="338"/>
      <c r="I25" s="338"/>
      <c r="J25" s="334">
        <f>(C25*D25*(1+H25/100)*I25*12)</f>
        <v>0</v>
      </c>
      <c r="K25" s="212" t="s">
        <v>565</v>
      </c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193"/>
      <c r="AB25" s="193"/>
      <c r="AC25" s="193"/>
      <c r="AD25" s="193"/>
      <c r="AE25" s="193"/>
    </row>
    <row r="26" spans="1:31" ht="15.75" customHeight="1">
      <c r="A26" s="207"/>
      <c r="B26" s="208" t="s">
        <v>561</v>
      </c>
      <c r="C26" s="337">
        <v>0</v>
      </c>
      <c r="D26" s="337">
        <v>0</v>
      </c>
      <c r="E26" s="334"/>
      <c r="F26" s="334"/>
      <c r="G26" s="338"/>
      <c r="H26" s="338"/>
      <c r="I26" s="338"/>
      <c r="J26" s="334">
        <f>D26</f>
        <v>0</v>
      </c>
      <c r="K26" s="212" t="s">
        <v>565</v>
      </c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193"/>
      <c r="AB26" s="193"/>
      <c r="AC26" s="193"/>
      <c r="AD26" s="193"/>
      <c r="AE26" s="193"/>
    </row>
    <row r="27" spans="1:31" ht="15.75" customHeight="1">
      <c r="A27" s="207"/>
      <c r="B27" s="208" t="s">
        <v>562</v>
      </c>
      <c r="C27" s="337"/>
      <c r="D27" s="337"/>
      <c r="E27" s="334"/>
      <c r="F27" s="334"/>
      <c r="G27" s="338"/>
      <c r="H27" s="338"/>
      <c r="I27" s="338"/>
      <c r="J27" s="334">
        <f>(C27*D27*(1+H27/100)*I27*12)</f>
        <v>0</v>
      </c>
      <c r="K27" s="212" t="s">
        <v>565</v>
      </c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193"/>
      <c r="AB27" s="193"/>
      <c r="AC27" s="193"/>
      <c r="AD27" s="193"/>
      <c r="AE27" s="193"/>
    </row>
    <row r="28" spans="1:31" ht="15.75" customHeight="1">
      <c r="A28" s="207"/>
      <c r="B28" s="214" t="s">
        <v>563</v>
      </c>
      <c r="C28" s="337" t="s">
        <v>564</v>
      </c>
      <c r="D28" s="337"/>
      <c r="E28" s="334" t="s">
        <v>564</v>
      </c>
      <c r="F28" s="334" t="s">
        <v>564</v>
      </c>
      <c r="G28" s="338" t="s">
        <v>564</v>
      </c>
      <c r="H28" s="338" t="s">
        <v>564</v>
      </c>
      <c r="I28" s="338" t="s">
        <v>564</v>
      </c>
      <c r="J28" s="334">
        <f>SUM(J24:J27)</f>
        <v>0</v>
      </c>
      <c r="K28" s="204" t="s">
        <v>564</v>
      </c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</row>
    <row r="29" spans="1:12" ht="15.75" customHeight="1">
      <c r="A29" s="518" t="s">
        <v>563</v>
      </c>
      <c r="B29" s="519"/>
      <c r="C29" s="339" t="s">
        <v>564</v>
      </c>
      <c r="D29" s="340"/>
      <c r="E29" s="340"/>
      <c r="F29" s="340"/>
      <c r="G29" s="340"/>
      <c r="H29" s="340"/>
      <c r="I29" s="340"/>
      <c r="J29" s="292" t="s">
        <v>564</v>
      </c>
      <c r="K29" s="220"/>
      <c r="L29" s="395">
        <f>J19+G67+J22</f>
        <v>3649431.834</v>
      </c>
    </row>
    <row r="30" spans="1:12" ht="15.75" customHeight="1">
      <c r="A30" s="193"/>
      <c r="B30" s="221"/>
      <c r="C30" s="222"/>
      <c r="D30" s="221"/>
      <c r="E30" s="221"/>
      <c r="F30" s="221"/>
      <c r="G30" s="221"/>
      <c r="H30" s="221"/>
      <c r="I30" s="221"/>
      <c r="J30" s="223"/>
      <c r="K30" s="224"/>
      <c r="L30" s="395">
        <f>J23+G67</f>
        <v>3839431.834</v>
      </c>
    </row>
    <row r="31" spans="1:11" ht="208.5" customHeight="1">
      <c r="A31" s="520" t="s">
        <v>566</v>
      </c>
      <c r="B31" s="520"/>
      <c r="C31" s="520"/>
      <c r="D31" s="520"/>
      <c r="E31" s="520"/>
      <c r="F31" s="520"/>
      <c r="G31" s="520"/>
      <c r="H31" s="520"/>
      <c r="I31" s="520"/>
      <c r="J31" s="520"/>
      <c r="K31" s="520"/>
    </row>
    <row r="32" spans="2:11" ht="15.75" customHeight="1">
      <c r="B32" s="521"/>
      <c r="C32" s="521"/>
      <c r="D32" s="521"/>
      <c r="E32" s="521"/>
      <c r="F32" s="521"/>
      <c r="G32" s="521"/>
      <c r="H32" s="521"/>
      <c r="I32" s="521"/>
      <c r="J32" s="521"/>
      <c r="K32" s="521"/>
    </row>
    <row r="33" spans="2:9" ht="21" customHeight="1">
      <c r="B33" s="522" t="s">
        <v>567</v>
      </c>
      <c r="C33" s="522"/>
      <c r="D33" s="522"/>
      <c r="E33" s="522"/>
      <c r="F33" s="522"/>
      <c r="G33" s="522"/>
      <c r="H33" s="522"/>
      <c r="I33" s="522"/>
    </row>
    <row r="35" spans="1:9" ht="26.25" customHeight="1">
      <c r="A35" s="523" t="s">
        <v>547</v>
      </c>
      <c r="B35" s="525" t="s">
        <v>568</v>
      </c>
      <c r="C35" s="525" t="s">
        <v>569</v>
      </c>
      <c r="D35" s="525" t="s">
        <v>570</v>
      </c>
      <c r="E35" s="525" t="s">
        <v>571</v>
      </c>
      <c r="F35" s="527" t="s">
        <v>572</v>
      </c>
      <c r="G35" s="528"/>
      <c r="H35" s="529"/>
      <c r="I35" s="227"/>
    </row>
    <row r="36" spans="1:9" ht="39.75" customHeight="1">
      <c r="A36" s="524"/>
      <c r="B36" s="526"/>
      <c r="C36" s="526"/>
      <c r="D36" s="526"/>
      <c r="E36" s="526"/>
      <c r="F36" s="228" t="s">
        <v>33</v>
      </c>
      <c r="G36" s="226" t="s">
        <v>559</v>
      </c>
      <c r="H36" s="228" t="s">
        <v>565</v>
      </c>
      <c r="I36" s="229"/>
    </row>
    <row r="37" spans="1:9" ht="15.75">
      <c r="A37" s="207">
        <v>1</v>
      </c>
      <c r="B37" s="230">
        <v>2</v>
      </c>
      <c r="C37" s="230">
        <v>3</v>
      </c>
      <c r="D37" s="230">
        <v>4</v>
      </c>
      <c r="E37" s="230">
        <v>5</v>
      </c>
      <c r="F37" s="230">
        <v>6</v>
      </c>
      <c r="G37" s="231">
        <v>7</v>
      </c>
      <c r="H37" s="230">
        <v>8</v>
      </c>
      <c r="I37" s="232"/>
    </row>
    <row r="38" spans="1:9" ht="15.75">
      <c r="A38" s="207"/>
      <c r="B38" s="201"/>
      <c r="C38" s="207"/>
      <c r="D38" s="207"/>
      <c r="E38" s="207"/>
      <c r="F38" s="233"/>
      <c r="G38" s="234"/>
      <c r="H38" s="233"/>
      <c r="I38" s="193"/>
    </row>
    <row r="39" spans="1:9" ht="15.75">
      <c r="A39" s="207"/>
      <c r="B39" s="201"/>
      <c r="C39" s="207"/>
      <c r="D39" s="207"/>
      <c r="E39" s="207"/>
      <c r="F39" s="207"/>
      <c r="G39" s="234"/>
      <c r="H39" s="233"/>
      <c r="I39" s="193"/>
    </row>
    <row r="40" spans="1:9" ht="15.75">
      <c r="A40" s="530" t="s">
        <v>573</v>
      </c>
      <c r="B40" s="531"/>
      <c r="C40" s="201" t="s">
        <v>564</v>
      </c>
      <c r="D40" s="201" t="s">
        <v>564</v>
      </c>
      <c r="E40" s="201" t="s">
        <v>564</v>
      </c>
      <c r="F40" s="207"/>
      <c r="G40" s="234"/>
      <c r="H40" s="233"/>
      <c r="I40" s="193"/>
    </row>
    <row r="42" spans="2:6" ht="15.75">
      <c r="B42" s="532" t="s">
        <v>574</v>
      </c>
      <c r="C42" s="532"/>
      <c r="D42" s="532"/>
      <c r="E42" s="532"/>
      <c r="F42" s="532"/>
    </row>
    <row r="44" spans="1:9" ht="26.25" customHeight="1">
      <c r="A44" s="523" t="s">
        <v>547</v>
      </c>
      <c r="B44" s="525" t="s">
        <v>568</v>
      </c>
      <c r="C44" s="525" t="s">
        <v>575</v>
      </c>
      <c r="D44" s="525" t="s">
        <v>576</v>
      </c>
      <c r="E44" s="525" t="s">
        <v>577</v>
      </c>
      <c r="F44" s="533" t="s">
        <v>572</v>
      </c>
      <c r="G44" s="533"/>
      <c r="H44" s="533"/>
      <c r="I44" s="227"/>
    </row>
    <row r="45" spans="1:9" ht="51" customHeight="1">
      <c r="A45" s="524"/>
      <c r="B45" s="526"/>
      <c r="C45" s="526"/>
      <c r="D45" s="526"/>
      <c r="E45" s="526"/>
      <c r="F45" s="228" t="s">
        <v>33</v>
      </c>
      <c r="G45" s="228" t="s">
        <v>559</v>
      </c>
      <c r="H45" s="228" t="s">
        <v>565</v>
      </c>
      <c r="I45" s="229"/>
    </row>
    <row r="46" spans="1:9" ht="15.75">
      <c r="A46" s="207">
        <v>1</v>
      </c>
      <c r="B46" s="230">
        <v>2</v>
      </c>
      <c r="C46" s="230">
        <v>3</v>
      </c>
      <c r="D46" s="230">
        <v>4</v>
      </c>
      <c r="E46" s="230">
        <v>5</v>
      </c>
      <c r="F46" s="230">
        <v>6</v>
      </c>
      <c r="G46" s="230">
        <v>7</v>
      </c>
      <c r="H46" s="230">
        <v>8</v>
      </c>
      <c r="I46" s="232"/>
    </row>
    <row r="47" spans="1:9" ht="15.75">
      <c r="A47" s="207"/>
      <c r="B47" s="201"/>
      <c r="C47" s="207"/>
      <c r="D47" s="207"/>
      <c r="E47" s="207"/>
      <c r="F47" s="233"/>
      <c r="G47" s="233"/>
      <c r="H47" s="233"/>
      <c r="I47" s="193"/>
    </row>
    <row r="48" spans="1:9" ht="15.75">
      <c r="A48" s="207"/>
      <c r="B48" s="201"/>
      <c r="C48" s="207"/>
      <c r="D48" s="207"/>
      <c r="E48" s="207"/>
      <c r="F48" s="207"/>
      <c r="G48" s="233"/>
      <c r="H48" s="233"/>
      <c r="I48" s="193"/>
    </row>
    <row r="49" spans="1:9" ht="15.75">
      <c r="A49" s="530" t="s">
        <v>573</v>
      </c>
      <c r="B49" s="531"/>
      <c r="C49" s="201" t="s">
        <v>564</v>
      </c>
      <c r="D49" s="201" t="s">
        <v>564</v>
      </c>
      <c r="E49" s="201" t="s">
        <v>564</v>
      </c>
      <c r="F49" s="207"/>
      <c r="G49" s="233"/>
      <c r="H49" s="233"/>
      <c r="I49" s="193"/>
    </row>
    <row r="51" spans="2:9" ht="33" customHeight="1">
      <c r="B51" s="534" t="s">
        <v>578</v>
      </c>
      <c r="C51" s="534"/>
      <c r="D51" s="534"/>
      <c r="E51" s="534"/>
      <c r="F51" s="534"/>
      <c r="G51" s="534"/>
      <c r="H51" s="534"/>
      <c r="I51" s="534"/>
    </row>
    <row r="53" spans="1:9" ht="31.5" customHeight="1">
      <c r="A53" s="535" t="s">
        <v>547</v>
      </c>
      <c r="B53" s="533" t="s">
        <v>579</v>
      </c>
      <c r="C53" s="533"/>
      <c r="D53" s="533"/>
      <c r="E53" s="525" t="s">
        <v>580</v>
      </c>
      <c r="F53" s="533" t="s">
        <v>581</v>
      </c>
      <c r="G53" s="533"/>
      <c r="H53" s="533"/>
      <c r="I53" s="235"/>
    </row>
    <row r="54" spans="1:9" ht="31.5" customHeight="1">
      <c r="A54" s="536"/>
      <c r="B54" s="533"/>
      <c r="C54" s="533"/>
      <c r="D54" s="533"/>
      <c r="E54" s="526"/>
      <c r="F54" s="228" t="s">
        <v>582</v>
      </c>
      <c r="G54" s="228" t="s">
        <v>559</v>
      </c>
      <c r="H54" s="228" t="s">
        <v>565</v>
      </c>
      <c r="I54" s="229"/>
    </row>
    <row r="55" spans="1:9" ht="17.25" customHeight="1">
      <c r="A55" s="236">
        <v>1</v>
      </c>
      <c r="B55" s="537">
        <v>2</v>
      </c>
      <c r="C55" s="537"/>
      <c r="D55" s="537"/>
      <c r="E55" s="201">
        <v>3</v>
      </c>
      <c r="F55" s="201">
        <v>4</v>
      </c>
      <c r="G55" s="201">
        <v>5</v>
      </c>
      <c r="H55" s="201">
        <v>6</v>
      </c>
      <c r="I55" s="238"/>
    </row>
    <row r="56" spans="1:9" s="189" customFormat="1" ht="32.25" customHeight="1">
      <c r="A56" s="239">
        <v>1</v>
      </c>
      <c r="B56" s="538" t="s">
        <v>583</v>
      </c>
      <c r="C56" s="539"/>
      <c r="D56" s="540"/>
      <c r="E56" s="233" t="s">
        <v>564</v>
      </c>
      <c r="F56" s="233"/>
      <c r="G56" s="233"/>
      <c r="H56" s="233"/>
      <c r="I56" s="193"/>
    </row>
    <row r="57" spans="1:9" ht="34.5" customHeight="1">
      <c r="A57" s="239" t="s">
        <v>584</v>
      </c>
      <c r="B57" s="538" t="s">
        <v>585</v>
      </c>
      <c r="C57" s="539"/>
      <c r="D57" s="540"/>
      <c r="E57" s="240">
        <f>J19</f>
        <v>2791597.5840000003</v>
      </c>
      <c r="F57" s="240">
        <f>SUM(G57:H57)</f>
        <v>614147.4</v>
      </c>
      <c r="G57" s="240">
        <f>ROUND(E57*22%,2)-0.62-2.1-1.35</f>
        <v>614147.4</v>
      </c>
      <c r="H57" s="207"/>
      <c r="I57" s="193"/>
    </row>
    <row r="58" spans="1:9" ht="16.5" customHeight="1">
      <c r="A58" s="239" t="s">
        <v>586</v>
      </c>
      <c r="B58" s="538" t="s">
        <v>587</v>
      </c>
      <c r="C58" s="539"/>
      <c r="D58" s="540"/>
      <c r="E58" s="241">
        <v>0</v>
      </c>
      <c r="F58" s="241"/>
      <c r="G58" s="241"/>
      <c r="H58" s="207"/>
      <c r="I58" s="193"/>
    </row>
    <row r="59" spans="1:9" ht="34.5" customHeight="1">
      <c r="A59" s="239" t="s">
        <v>588</v>
      </c>
      <c r="B59" s="538" t="s">
        <v>589</v>
      </c>
      <c r="C59" s="539"/>
      <c r="D59" s="540"/>
      <c r="E59" s="241">
        <v>0</v>
      </c>
      <c r="F59" s="241"/>
      <c r="G59" s="241"/>
      <c r="H59" s="207"/>
      <c r="I59" s="193"/>
    </row>
    <row r="60" spans="1:9" ht="33" customHeight="1">
      <c r="A60" s="239" t="s">
        <v>590</v>
      </c>
      <c r="B60" s="538" t="s">
        <v>591</v>
      </c>
      <c r="C60" s="539"/>
      <c r="D60" s="540"/>
      <c r="E60" s="240">
        <f>SUM(F60:G60)</f>
        <v>0</v>
      </c>
      <c r="F60" s="240">
        <f>SUM(G60:H60)</f>
        <v>0</v>
      </c>
      <c r="G60" s="241"/>
      <c r="H60" s="207"/>
      <c r="I60" s="193"/>
    </row>
    <row r="61" spans="1:9" ht="41.25" customHeight="1">
      <c r="A61" s="239" t="s">
        <v>592</v>
      </c>
      <c r="B61" s="541" t="s">
        <v>593</v>
      </c>
      <c r="C61" s="542"/>
      <c r="D61" s="543"/>
      <c r="E61" s="240">
        <f>E57</f>
        <v>2791597.5840000003</v>
      </c>
      <c r="F61" s="240">
        <f>SUM(G61:H61)</f>
        <v>80956.33</v>
      </c>
      <c r="G61" s="240">
        <f>ROUND(E61*2.9%,2)</f>
        <v>80956.33</v>
      </c>
      <c r="H61" s="207"/>
      <c r="I61" s="193"/>
    </row>
    <row r="62" spans="1:9" ht="34.5" customHeight="1">
      <c r="A62" s="239" t="s">
        <v>594</v>
      </c>
      <c r="B62" s="538" t="s">
        <v>595</v>
      </c>
      <c r="C62" s="539"/>
      <c r="D62" s="540"/>
      <c r="E62" s="241">
        <v>0</v>
      </c>
      <c r="F62" s="241"/>
      <c r="G62" s="241"/>
      <c r="H62" s="207"/>
      <c r="I62" s="193"/>
    </row>
    <row r="63" spans="1:9" ht="33.75" customHeight="1">
      <c r="A63" s="239" t="s">
        <v>596</v>
      </c>
      <c r="B63" s="538" t="s">
        <v>597</v>
      </c>
      <c r="C63" s="539"/>
      <c r="D63" s="540"/>
      <c r="E63" s="240">
        <f>E61</f>
        <v>2791597.5840000003</v>
      </c>
      <c r="F63" s="240">
        <f>SUM(G63:H63)</f>
        <v>5583.2</v>
      </c>
      <c r="G63" s="240">
        <f>ROUND(E63*0.2%,2)</f>
        <v>5583.2</v>
      </c>
      <c r="H63" s="207"/>
      <c r="I63" s="193"/>
    </row>
    <row r="64" spans="1:9" ht="33.75" customHeight="1">
      <c r="A64" s="239" t="s">
        <v>598</v>
      </c>
      <c r="B64" s="538" t="s">
        <v>599</v>
      </c>
      <c r="C64" s="539"/>
      <c r="D64" s="540"/>
      <c r="E64" s="241">
        <v>0</v>
      </c>
      <c r="F64" s="241"/>
      <c r="G64" s="241"/>
      <c r="H64" s="207"/>
      <c r="I64" s="193"/>
    </row>
    <row r="65" spans="1:9" ht="39.75" customHeight="1">
      <c r="A65" s="239" t="s">
        <v>600</v>
      </c>
      <c r="B65" s="538" t="s">
        <v>599</v>
      </c>
      <c r="C65" s="539"/>
      <c r="D65" s="540"/>
      <c r="E65" s="241">
        <v>0</v>
      </c>
      <c r="F65" s="241"/>
      <c r="G65" s="241"/>
      <c r="H65" s="207"/>
      <c r="I65" s="193"/>
    </row>
    <row r="66" spans="1:9" ht="30" customHeight="1">
      <c r="A66" s="239" t="s">
        <v>601</v>
      </c>
      <c r="B66" s="538" t="s">
        <v>602</v>
      </c>
      <c r="C66" s="539"/>
      <c r="D66" s="540"/>
      <c r="E66" s="240">
        <f>E63</f>
        <v>2791597.5840000003</v>
      </c>
      <c r="F66" s="240">
        <f>SUM(G66:H66)</f>
        <v>142371.48</v>
      </c>
      <c r="G66" s="240">
        <f>ROUND(E66*5.1%,2)</f>
        <v>142371.48</v>
      </c>
      <c r="H66" s="207"/>
      <c r="I66" s="193"/>
    </row>
    <row r="67" spans="1:9" ht="30.75" customHeight="1">
      <c r="A67" s="544" t="s">
        <v>573</v>
      </c>
      <c r="B67" s="544"/>
      <c r="C67" s="544"/>
      <c r="D67" s="544"/>
      <c r="E67" s="241" t="s">
        <v>564</v>
      </c>
      <c r="F67" s="242">
        <f>SUM(F57:F66)</f>
        <v>843058.4099999999</v>
      </c>
      <c r="G67" s="242">
        <f>SUM(G57:G66)</f>
        <v>843058.4099999999</v>
      </c>
      <c r="H67" s="243">
        <f>H56+H60+H66</f>
        <v>0</v>
      </c>
      <c r="I67" s="193"/>
    </row>
    <row r="68" spans="2:6" ht="16.5" customHeight="1">
      <c r="B68" s="244"/>
      <c r="C68" s="244"/>
      <c r="D68" s="244"/>
      <c r="E68" s="238"/>
      <c r="F68" s="193"/>
    </row>
    <row r="69" spans="1:11" ht="99" customHeight="1">
      <c r="A69" s="545" t="s">
        <v>603</v>
      </c>
      <c r="B69" s="545"/>
      <c r="C69" s="545"/>
      <c r="D69" s="545"/>
      <c r="E69" s="545"/>
      <c r="F69" s="545"/>
      <c r="G69" s="545"/>
      <c r="H69" s="545"/>
      <c r="I69" s="545"/>
      <c r="J69" s="545"/>
      <c r="K69" s="545"/>
    </row>
    <row r="70" spans="2:6" ht="21" customHeight="1">
      <c r="B70" s="546"/>
      <c r="C70" s="546"/>
      <c r="D70" s="546"/>
      <c r="E70" s="546"/>
      <c r="F70" s="546"/>
    </row>
    <row r="71" spans="1:11" s="246" customFormat="1" ht="27" customHeight="1">
      <c r="A71" s="547" t="s">
        <v>604</v>
      </c>
      <c r="B71" s="547"/>
      <c r="C71" s="547"/>
      <c r="D71" s="547"/>
      <c r="E71" s="547"/>
      <c r="F71" s="547"/>
      <c r="G71" s="547"/>
      <c r="H71" s="547"/>
      <c r="I71" s="547"/>
      <c r="J71" s="547"/>
      <c r="K71" s="547"/>
    </row>
    <row r="72" spans="1:11" s="246" customFormat="1" ht="16.5" customHeight="1">
      <c r="A72" s="245"/>
      <c r="B72" s="245"/>
      <c r="C72" s="245"/>
      <c r="D72" s="245"/>
      <c r="E72" s="245"/>
      <c r="F72" s="245"/>
      <c r="G72" s="245"/>
      <c r="H72" s="245"/>
      <c r="I72" s="245"/>
      <c r="J72" s="245"/>
      <c r="K72" s="245"/>
    </row>
    <row r="73" spans="2:31" ht="15.75" customHeight="1">
      <c r="B73" s="194" t="s">
        <v>605</v>
      </c>
      <c r="C73" s="194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</row>
    <row r="74" spans="2:31" ht="15.75" customHeight="1">
      <c r="B74" s="187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</row>
    <row r="75" spans="2:31" ht="15.75" customHeight="1">
      <c r="B75" s="194" t="s">
        <v>544</v>
      </c>
      <c r="C75" s="194"/>
      <c r="D75" s="194" t="s">
        <v>705</v>
      </c>
      <c r="E75" s="194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</row>
    <row r="76" spans="2:31" ht="15.75" customHeight="1">
      <c r="B76" s="187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</row>
    <row r="77" spans="1:9" s="246" customFormat="1" ht="15.75" customHeight="1">
      <c r="A77" s="535" t="s">
        <v>547</v>
      </c>
      <c r="B77" s="548" t="s">
        <v>1</v>
      </c>
      <c r="C77" s="548"/>
      <c r="D77" s="548"/>
      <c r="E77" s="548" t="s">
        <v>607</v>
      </c>
      <c r="F77" s="548" t="s">
        <v>608</v>
      </c>
      <c r="G77" s="527" t="s">
        <v>581</v>
      </c>
      <c r="H77" s="528"/>
      <c r="I77" s="529"/>
    </row>
    <row r="78" spans="1:49" s="246" customFormat="1" ht="51" customHeight="1">
      <c r="A78" s="536"/>
      <c r="B78" s="548"/>
      <c r="C78" s="548"/>
      <c r="D78" s="548"/>
      <c r="E78" s="548"/>
      <c r="F78" s="548"/>
      <c r="G78" s="228" t="s">
        <v>609</v>
      </c>
      <c r="H78" s="226" t="s">
        <v>559</v>
      </c>
      <c r="I78" s="228" t="s">
        <v>565</v>
      </c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</row>
    <row r="79" spans="1:49" s="246" customFormat="1" ht="15.75">
      <c r="A79" s="249">
        <v>1</v>
      </c>
      <c r="B79" s="549">
        <v>2</v>
      </c>
      <c r="C79" s="549"/>
      <c r="D79" s="549"/>
      <c r="E79" s="249">
        <v>3</v>
      </c>
      <c r="F79" s="250">
        <v>4</v>
      </c>
      <c r="G79" s="251">
        <v>4</v>
      </c>
      <c r="H79" s="252">
        <v>5</v>
      </c>
      <c r="I79" s="251">
        <v>6</v>
      </c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</row>
    <row r="80" spans="1:49" s="246" customFormat="1" ht="32.25" customHeight="1">
      <c r="A80" s="253" t="s">
        <v>610</v>
      </c>
      <c r="B80" s="550" t="s">
        <v>706</v>
      </c>
      <c r="C80" s="550"/>
      <c r="D80" s="550"/>
      <c r="E80" s="254">
        <v>62.51</v>
      </c>
      <c r="F80" s="341">
        <v>7187.4897</v>
      </c>
      <c r="G80" s="342">
        <f>SUM(H80:J80)</f>
        <v>449289.981147</v>
      </c>
      <c r="H80" s="342">
        <f>E80*F80</f>
        <v>449289.981147</v>
      </c>
      <c r="I80" s="342">
        <v>0</v>
      </c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</row>
    <row r="81" spans="1:49" s="246" customFormat="1" ht="30.75" customHeight="1">
      <c r="A81" s="253" t="s">
        <v>590</v>
      </c>
      <c r="B81" s="550" t="s">
        <v>707</v>
      </c>
      <c r="C81" s="550"/>
      <c r="D81" s="550"/>
      <c r="E81" s="254">
        <v>62.51</v>
      </c>
      <c r="F81" s="341">
        <v>1991.8573</v>
      </c>
      <c r="G81" s="342">
        <f aca="true" t="shared" si="0" ref="G81:G86">SUM(H81:J81)</f>
        <v>124510.99982299999</v>
      </c>
      <c r="H81" s="342">
        <f>E81*F81</f>
        <v>124510.99982299999</v>
      </c>
      <c r="I81" s="342">
        <v>0</v>
      </c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</row>
    <row r="82" spans="1:49" s="246" customFormat="1" ht="35.25" customHeight="1">
      <c r="A82" s="253" t="s">
        <v>601</v>
      </c>
      <c r="B82" s="550" t="s">
        <v>708</v>
      </c>
      <c r="C82" s="550"/>
      <c r="D82" s="550"/>
      <c r="E82" s="254">
        <v>2759</v>
      </c>
      <c r="F82" s="341">
        <v>3</v>
      </c>
      <c r="G82" s="342">
        <f t="shared" si="0"/>
        <v>8617</v>
      </c>
      <c r="H82" s="342">
        <f>E82*F82+340</f>
        <v>8617</v>
      </c>
      <c r="I82" s="342">
        <v>0</v>
      </c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</row>
    <row r="83" spans="1:49" s="246" customFormat="1" ht="31.5" customHeight="1">
      <c r="A83" s="253" t="s">
        <v>709</v>
      </c>
      <c r="B83" s="550" t="s">
        <v>710</v>
      </c>
      <c r="C83" s="550"/>
      <c r="D83" s="550"/>
      <c r="E83" s="254">
        <v>2735</v>
      </c>
      <c r="F83" s="343">
        <v>8</v>
      </c>
      <c r="G83" s="342">
        <f t="shared" si="0"/>
        <v>21880</v>
      </c>
      <c r="H83" s="342">
        <f>E83*F83</f>
        <v>21880</v>
      </c>
      <c r="I83" s="342">
        <v>0</v>
      </c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</row>
    <row r="84" spans="1:49" s="246" customFormat="1" ht="36.75" customHeight="1">
      <c r="A84" s="253" t="s">
        <v>711</v>
      </c>
      <c r="B84" s="550" t="s">
        <v>241</v>
      </c>
      <c r="C84" s="550"/>
      <c r="D84" s="550"/>
      <c r="E84" s="254">
        <v>62.51</v>
      </c>
      <c r="F84" s="341">
        <v>14026.1878</v>
      </c>
      <c r="G84" s="342">
        <f t="shared" si="0"/>
        <v>876776.9993779999</v>
      </c>
      <c r="H84" s="342">
        <v>0</v>
      </c>
      <c r="I84" s="342">
        <f>E84*F84</f>
        <v>876776.9993779999</v>
      </c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</row>
    <row r="85" spans="1:49" s="246" customFormat="1" ht="36.75" customHeight="1">
      <c r="A85" s="253" t="s">
        <v>712</v>
      </c>
      <c r="B85" s="550" t="s">
        <v>269</v>
      </c>
      <c r="C85" s="550"/>
      <c r="D85" s="550"/>
      <c r="E85" s="254">
        <v>106.86</v>
      </c>
      <c r="F85" s="343">
        <v>0</v>
      </c>
      <c r="G85" s="342">
        <f t="shared" si="0"/>
        <v>0</v>
      </c>
      <c r="H85" s="342">
        <v>0</v>
      </c>
      <c r="I85" s="342">
        <v>0</v>
      </c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</row>
    <row r="86" spans="1:49" s="246" customFormat="1" ht="36.75" customHeight="1">
      <c r="A86" s="253" t="s">
        <v>713</v>
      </c>
      <c r="B86" s="516"/>
      <c r="C86" s="517"/>
      <c r="D86" s="598"/>
      <c r="E86" s="254"/>
      <c r="F86" s="341">
        <v>0</v>
      </c>
      <c r="G86" s="342">
        <f t="shared" si="0"/>
        <v>0</v>
      </c>
      <c r="H86" s="342">
        <v>0</v>
      </c>
      <c r="I86" s="342">
        <v>0</v>
      </c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</row>
    <row r="87" spans="1:49" s="246" customFormat="1" ht="36.75" customHeight="1">
      <c r="A87" s="253" t="s">
        <v>714</v>
      </c>
      <c r="B87" s="516"/>
      <c r="C87" s="517"/>
      <c r="D87" s="598"/>
      <c r="E87" s="254"/>
      <c r="F87" s="255"/>
      <c r="G87" s="233"/>
      <c r="H87" s="234"/>
      <c r="I87" s="23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</row>
    <row r="88" spans="1:49" s="246" customFormat="1" ht="36.75" customHeight="1">
      <c r="A88" s="253" t="s">
        <v>715</v>
      </c>
      <c r="B88" s="516"/>
      <c r="C88" s="517"/>
      <c r="D88" s="598"/>
      <c r="E88" s="254"/>
      <c r="F88" s="255"/>
      <c r="G88" s="233"/>
      <c r="H88" s="234"/>
      <c r="I88" s="23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</row>
    <row r="89" spans="1:49" s="346" customFormat="1" ht="15.75">
      <c r="A89" s="599" t="s">
        <v>563</v>
      </c>
      <c r="B89" s="600"/>
      <c r="C89" s="600"/>
      <c r="D89" s="601"/>
      <c r="E89" s="219" t="s">
        <v>564</v>
      </c>
      <c r="F89" s="344" t="s">
        <v>564</v>
      </c>
      <c r="G89" s="220"/>
      <c r="H89" s="345">
        <f>SUM(H80:H88)</f>
        <v>604297.9809699999</v>
      </c>
      <c r="I89" s="292">
        <f>SUM(I80:I88)</f>
        <v>876776.9993779999</v>
      </c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8"/>
      <c r="AS89" s="348"/>
      <c r="AT89" s="348"/>
      <c r="AU89" s="348"/>
      <c r="AV89" s="348"/>
      <c r="AW89" s="348"/>
    </row>
    <row r="90" spans="6:49" s="246" customFormat="1" ht="15.75"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</row>
    <row r="91" spans="1:49" s="246" customFormat="1" ht="69" customHeight="1">
      <c r="A91" s="554" t="s">
        <v>611</v>
      </c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</row>
    <row r="92" s="246" customFormat="1" ht="15.75"/>
    <row r="93" spans="1:11" ht="15.75" customHeight="1">
      <c r="A93" s="547" t="s">
        <v>612</v>
      </c>
      <c r="B93" s="547"/>
      <c r="C93" s="547"/>
      <c r="D93" s="547"/>
      <c r="E93" s="547"/>
      <c r="F93" s="547"/>
      <c r="G93" s="547"/>
      <c r="H93" s="547"/>
      <c r="I93" s="547"/>
      <c r="J93" s="547"/>
      <c r="K93" s="547"/>
    </row>
    <row r="94" spans="1:11" ht="15.75" customHeight="1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</row>
    <row r="95" spans="2:31" ht="15.75" customHeight="1">
      <c r="B95" s="194" t="s">
        <v>613</v>
      </c>
      <c r="C95" s="194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</row>
    <row r="96" spans="2:31" ht="15.75" customHeight="1">
      <c r="B96" s="187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</row>
    <row r="97" spans="2:31" ht="15.75" customHeight="1">
      <c r="B97" s="194" t="s">
        <v>544</v>
      </c>
      <c r="C97" s="194"/>
      <c r="D97" s="194" t="s">
        <v>705</v>
      </c>
      <c r="E97" s="194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</row>
    <row r="98" spans="1:4" ht="15.75" customHeight="1">
      <c r="A98" s="195"/>
      <c r="B98" s="195"/>
      <c r="C98" s="195"/>
      <c r="D98" s="195"/>
    </row>
    <row r="99" spans="1:8" ht="15.75" customHeight="1">
      <c r="A99" s="535" t="s">
        <v>547</v>
      </c>
      <c r="B99" s="533" t="s">
        <v>614</v>
      </c>
      <c r="C99" s="533"/>
      <c r="D99" s="525" t="s">
        <v>615</v>
      </c>
      <c r="E99" s="525" t="s">
        <v>616</v>
      </c>
      <c r="F99" s="555" t="s">
        <v>581</v>
      </c>
      <c r="G99" s="556"/>
      <c r="H99" s="557"/>
    </row>
    <row r="100" spans="1:8" ht="51.75" customHeight="1">
      <c r="A100" s="536"/>
      <c r="B100" s="533"/>
      <c r="C100" s="533"/>
      <c r="D100" s="526"/>
      <c r="E100" s="526"/>
      <c r="F100" s="259" t="s">
        <v>617</v>
      </c>
      <c r="G100" s="226" t="s">
        <v>559</v>
      </c>
      <c r="H100" s="228" t="s">
        <v>565</v>
      </c>
    </row>
    <row r="101" spans="1:8" ht="15.75">
      <c r="A101" s="260">
        <v>1</v>
      </c>
      <c r="B101" s="558">
        <v>2</v>
      </c>
      <c r="C101" s="558"/>
      <c r="D101" s="260">
        <v>3</v>
      </c>
      <c r="E101" s="260">
        <v>4</v>
      </c>
      <c r="F101" s="260">
        <v>5</v>
      </c>
      <c r="G101" s="261">
        <v>6</v>
      </c>
      <c r="H101" s="260">
        <v>7</v>
      </c>
    </row>
    <row r="102" spans="1:8" ht="15.75">
      <c r="A102" s="201">
        <v>1</v>
      </c>
      <c r="B102" s="559"/>
      <c r="C102" s="559"/>
      <c r="D102" s="264"/>
      <c r="E102" s="264"/>
      <c r="F102" s="233"/>
      <c r="G102" s="234"/>
      <c r="H102" s="233"/>
    </row>
    <row r="103" spans="1:8" ht="15.75">
      <c r="A103" s="201">
        <v>2</v>
      </c>
      <c r="B103" s="559"/>
      <c r="C103" s="559"/>
      <c r="D103" s="264"/>
      <c r="E103" s="264"/>
      <c r="F103" s="233"/>
      <c r="G103" s="234"/>
      <c r="H103" s="233"/>
    </row>
    <row r="104" spans="1:8" ht="15.75">
      <c r="A104" s="561" t="s">
        <v>563</v>
      </c>
      <c r="B104" s="562"/>
      <c r="C104" s="563"/>
      <c r="D104" s="276"/>
      <c r="E104" s="267" t="s">
        <v>564</v>
      </c>
      <c r="F104" s="207"/>
      <c r="G104" s="234"/>
      <c r="H104" s="233"/>
    </row>
    <row r="105" spans="1:7" ht="15.75">
      <c r="A105" s="193"/>
      <c r="B105" s="193"/>
      <c r="C105" s="193"/>
      <c r="D105" s="193"/>
      <c r="E105" s="193"/>
      <c r="F105" s="193"/>
      <c r="G105" s="193"/>
    </row>
    <row r="106" spans="1:11" ht="49.5" customHeight="1">
      <c r="A106" s="564" t="s">
        <v>621</v>
      </c>
      <c r="B106" s="564"/>
      <c r="C106" s="564"/>
      <c r="D106" s="564"/>
      <c r="E106" s="564"/>
      <c r="F106" s="564"/>
      <c r="G106" s="564"/>
      <c r="H106" s="564"/>
      <c r="I106" s="564"/>
      <c r="J106" s="564"/>
      <c r="K106" s="564"/>
    </row>
    <row r="107" spans="1:7" ht="15.75">
      <c r="A107" s="193"/>
      <c r="B107" s="193"/>
      <c r="C107" s="193"/>
      <c r="D107" s="193"/>
      <c r="E107" s="193"/>
      <c r="F107" s="193"/>
      <c r="G107" s="193"/>
    </row>
    <row r="108" spans="1:11" ht="15.75">
      <c r="A108" s="565" t="s">
        <v>622</v>
      </c>
      <c r="B108" s="565"/>
      <c r="C108" s="565"/>
      <c r="D108" s="565"/>
      <c r="E108" s="565"/>
      <c r="F108" s="565"/>
      <c r="G108" s="565"/>
      <c r="H108" s="565"/>
      <c r="I108" s="565"/>
      <c r="J108" s="565"/>
      <c r="K108" s="565"/>
    </row>
    <row r="109" spans="1:7" ht="17.25" customHeight="1">
      <c r="A109" s="566" t="s">
        <v>623</v>
      </c>
      <c r="B109" s="566"/>
      <c r="C109" s="566"/>
      <c r="D109" s="566"/>
      <c r="E109" s="566"/>
      <c r="F109" s="193"/>
      <c r="G109" s="193"/>
    </row>
    <row r="110" spans="2:31" ht="15.75" customHeight="1">
      <c r="B110" s="187" t="s">
        <v>716</v>
      </c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</row>
    <row r="111" spans="2:31" ht="15.75" customHeight="1">
      <c r="B111" s="187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</row>
    <row r="112" spans="2:31" ht="15.75" customHeight="1">
      <c r="B112" s="187" t="s">
        <v>717</v>
      </c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</row>
    <row r="113" spans="1:7" ht="17.25" customHeight="1">
      <c r="A113" s="269"/>
      <c r="B113" s="269"/>
      <c r="C113" s="269"/>
      <c r="D113" s="269"/>
      <c r="E113" s="269"/>
      <c r="F113" s="193"/>
      <c r="G113" s="193"/>
    </row>
    <row r="114" spans="1:8" ht="15.75">
      <c r="A114" s="535" t="s">
        <v>547</v>
      </c>
      <c r="B114" s="567" t="s">
        <v>1</v>
      </c>
      <c r="C114" s="567" t="s">
        <v>607</v>
      </c>
      <c r="D114" s="567" t="s">
        <v>608</v>
      </c>
      <c r="E114" s="568" t="s">
        <v>581</v>
      </c>
      <c r="F114" s="569"/>
      <c r="G114" s="570"/>
      <c r="H114" s="258"/>
    </row>
    <row r="115" spans="1:50" ht="48.75" customHeight="1">
      <c r="A115" s="536"/>
      <c r="B115" s="567"/>
      <c r="C115" s="567"/>
      <c r="D115" s="567"/>
      <c r="E115" s="271" t="s">
        <v>609</v>
      </c>
      <c r="F115" s="272" t="s">
        <v>559</v>
      </c>
      <c r="G115" s="237" t="s">
        <v>565</v>
      </c>
      <c r="H115" s="273"/>
      <c r="I115" s="274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193"/>
    </row>
    <row r="116" spans="1:50" ht="14.25" customHeight="1">
      <c r="A116" s="230">
        <v>1</v>
      </c>
      <c r="B116" s="275">
        <v>2</v>
      </c>
      <c r="C116" s="275">
        <v>3</v>
      </c>
      <c r="D116" s="275">
        <v>4</v>
      </c>
      <c r="E116" s="275">
        <v>5</v>
      </c>
      <c r="F116" s="231">
        <v>6</v>
      </c>
      <c r="G116" s="230">
        <v>7</v>
      </c>
      <c r="H116" s="232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193"/>
    </row>
    <row r="117" spans="1:50" ht="15.75">
      <c r="A117" s="201"/>
      <c r="B117" s="271"/>
      <c r="C117" s="276"/>
      <c r="D117" s="276"/>
      <c r="E117" s="276"/>
      <c r="F117" s="256"/>
      <c r="G117" s="276"/>
      <c r="H117" s="277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8"/>
      <c r="AV117" s="248"/>
      <c r="AW117" s="248"/>
      <c r="AX117" s="193"/>
    </row>
    <row r="118" spans="1:50" ht="15.75">
      <c r="A118" s="201"/>
      <c r="B118" s="271"/>
      <c r="C118" s="276"/>
      <c r="D118" s="276"/>
      <c r="E118" s="276"/>
      <c r="F118" s="256"/>
      <c r="G118" s="276"/>
      <c r="H118" s="277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193"/>
    </row>
    <row r="119" spans="1:50" ht="15.75">
      <c r="A119" s="561" t="s">
        <v>563</v>
      </c>
      <c r="B119" s="563"/>
      <c r="C119" s="276" t="s">
        <v>564</v>
      </c>
      <c r="D119" s="276" t="s">
        <v>564</v>
      </c>
      <c r="E119" s="276"/>
      <c r="F119" s="256"/>
      <c r="G119" s="276"/>
      <c r="H119" s="277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7"/>
      <c r="AM119" s="257"/>
      <c r="AN119" s="257"/>
      <c r="AO119" s="257"/>
      <c r="AP119" s="257"/>
      <c r="AQ119" s="257"/>
      <c r="AR119" s="257"/>
      <c r="AS119" s="257"/>
      <c r="AT119" s="257"/>
      <c r="AU119" s="257"/>
      <c r="AV119" s="257"/>
      <c r="AW119" s="257"/>
      <c r="AX119" s="193"/>
    </row>
    <row r="120" spans="1:50" ht="15.75">
      <c r="A120" s="278"/>
      <c r="B120" s="278"/>
      <c r="C120" s="277"/>
      <c r="D120" s="277"/>
      <c r="E120" s="277"/>
      <c r="F120" s="277"/>
      <c r="G120" s="277"/>
      <c r="H120" s="277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7"/>
      <c r="AW120" s="257"/>
      <c r="AX120" s="193"/>
    </row>
    <row r="121" spans="1:50" ht="36" customHeight="1">
      <c r="A121" s="571" t="s">
        <v>625</v>
      </c>
      <c r="B121" s="571"/>
      <c r="C121" s="571"/>
      <c r="D121" s="571"/>
      <c r="E121" s="571"/>
      <c r="F121" s="571"/>
      <c r="G121" s="571"/>
      <c r="H121" s="571"/>
      <c r="I121" s="571"/>
      <c r="J121" s="571"/>
      <c r="K121" s="571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257"/>
      <c r="AR121" s="257"/>
      <c r="AS121" s="257"/>
      <c r="AT121" s="257"/>
      <c r="AU121" s="257"/>
      <c r="AV121" s="257"/>
      <c r="AW121" s="257"/>
      <c r="AX121" s="193"/>
    </row>
    <row r="122" spans="2:11" ht="15.75">
      <c r="B122" s="187"/>
      <c r="I122" s="193"/>
      <c r="J122" s="279"/>
      <c r="K122" s="279"/>
    </row>
    <row r="123" spans="1:12" ht="15.75" customHeight="1">
      <c r="A123" s="572" t="s">
        <v>626</v>
      </c>
      <c r="B123" s="572"/>
      <c r="C123" s="572"/>
      <c r="D123" s="572"/>
      <c r="E123" s="572"/>
      <c r="F123" s="572"/>
      <c r="G123" s="572"/>
      <c r="H123" s="572"/>
      <c r="I123" s="572"/>
      <c r="J123" s="572"/>
      <c r="K123" s="572"/>
      <c r="L123" s="281"/>
    </row>
    <row r="124" spans="1:12" ht="15.75" customHeight="1">
      <c r="A124" s="280"/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1"/>
    </row>
    <row r="125" spans="2:31" ht="15.75" customHeight="1">
      <c r="B125" s="187" t="s">
        <v>716</v>
      </c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</row>
    <row r="126" spans="2:31" ht="15.75" customHeight="1">
      <c r="B126" s="187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</row>
    <row r="127" spans="2:31" ht="15.75" customHeight="1">
      <c r="B127" s="187" t="s">
        <v>717</v>
      </c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</row>
    <row r="128" spans="1:12" ht="15.75" customHeight="1">
      <c r="A128" s="225"/>
      <c r="B128" s="225"/>
      <c r="C128" s="225"/>
      <c r="D128" s="225"/>
      <c r="E128" s="225"/>
      <c r="F128" s="225"/>
      <c r="G128" s="281"/>
      <c r="H128" s="281"/>
      <c r="I128" s="281"/>
      <c r="J128" s="281"/>
      <c r="K128" s="281"/>
      <c r="L128" s="281"/>
    </row>
    <row r="129" spans="1:8" ht="15.75" customHeight="1">
      <c r="A129" s="535" t="s">
        <v>547</v>
      </c>
      <c r="B129" s="567" t="s">
        <v>1</v>
      </c>
      <c r="C129" s="567" t="s">
        <v>607</v>
      </c>
      <c r="D129" s="567" t="s">
        <v>608</v>
      </c>
      <c r="E129" s="568" t="s">
        <v>581</v>
      </c>
      <c r="F129" s="569"/>
      <c r="G129" s="570"/>
      <c r="H129" s="258"/>
    </row>
    <row r="130" spans="1:50" ht="47.25" customHeight="1">
      <c r="A130" s="536"/>
      <c r="B130" s="567"/>
      <c r="C130" s="567"/>
      <c r="D130" s="567"/>
      <c r="E130" s="271" t="s">
        <v>609</v>
      </c>
      <c r="F130" s="237" t="s">
        <v>559</v>
      </c>
      <c r="G130" s="237" t="s">
        <v>565</v>
      </c>
      <c r="H130" s="273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193"/>
    </row>
    <row r="131" spans="1:50" ht="12" customHeight="1">
      <c r="A131" s="282">
        <v>1</v>
      </c>
      <c r="B131" s="283">
        <v>2</v>
      </c>
      <c r="C131" s="283">
        <v>3</v>
      </c>
      <c r="D131" s="283">
        <v>4</v>
      </c>
      <c r="E131" s="275">
        <v>5</v>
      </c>
      <c r="F131" s="230">
        <v>6</v>
      </c>
      <c r="G131" s="230">
        <v>7</v>
      </c>
      <c r="H131" s="232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193"/>
    </row>
    <row r="132" spans="1:50" ht="15.75">
      <c r="A132" s="201"/>
      <c r="B132" s="197"/>
      <c r="C132" s="203"/>
      <c r="D132" s="203"/>
      <c r="E132" s="276"/>
      <c r="F132" s="276"/>
      <c r="G132" s="276"/>
      <c r="H132" s="277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193"/>
    </row>
    <row r="133" spans="1:50" ht="15.75">
      <c r="A133" s="201"/>
      <c r="B133" s="197"/>
      <c r="C133" s="203"/>
      <c r="D133" s="203"/>
      <c r="E133" s="276"/>
      <c r="F133" s="276"/>
      <c r="G133" s="276"/>
      <c r="H133" s="277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193"/>
    </row>
    <row r="134" spans="1:50" ht="15.75">
      <c r="A134" s="561" t="s">
        <v>563</v>
      </c>
      <c r="B134" s="563"/>
      <c r="C134" s="203" t="s">
        <v>564</v>
      </c>
      <c r="D134" s="203" t="s">
        <v>564</v>
      </c>
      <c r="E134" s="276"/>
      <c r="F134" s="276"/>
      <c r="G134" s="276"/>
      <c r="H134" s="277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7"/>
      <c r="AR134" s="257"/>
      <c r="AS134" s="257"/>
      <c r="AT134" s="257"/>
      <c r="AU134" s="257"/>
      <c r="AV134" s="257"/>
      <c r="AW134" s="257"/>
      <c r="AX134" s="193"/>
    </row>
    <row r="135" spans="1:50" ht="15.75">
      <c r="A135" s="238"/>
      <c r="B135" s="193"/>
      <c r="C135" s="238"/>
      <c r="D135" s="238"/>
      <c r="E135" s="238"/>
      <c r="F135" s="238"/>
      <c r="G135" s="193"/>
      <c r="H135" s="279"/>
      <c r="I135" s="279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</row>
    <row r="136" spans="1:50" ht="39" customHeight="1">
      <c r="A136" s="564" t="s">
        <v>627</v>
      </c>
      <c r="B136" s="564"/>
      <c r="C136" s="564"/>
      <c r="D136" s="564"/>
      <c r="E136" s="564"/>
      <c r="F136" s="564"/>
      <c r="G136" s="564"/>
      <c r="H136" s="564"/>
      <c r="I136" s="564"/>
      <c r="J136" s="564"/>
      <c r="K136" s="564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</row>
    <row r="137" spans="1:50" ht="15.75">
      <c r="A137" s="238"/>
      <c r="B137" s="193"/>
      <c r="C137" s="238"/>
      <c r="D137" s="238"/>
      <c r="E137" s="238"/>
      <c r="F137" s="238"/>
      <c r="G137" s="193"/>
      <c r="H137" s="279"/>
      <c r="I137" s="279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</row>
    <row r="138" spans="1:11" ht="15.75">
      <c r="A138" s="565" t="s">
        <v>628</v>
      </c>
      <c r="B138" s="565"/>
      <c r="C138" s="565"/>
      <c r="D138" s="565"/>
      <c r="E138" s="565"/>
      <c r="F138" s="565"/>
      <c r="G138" s="565"/>
      <c r="H138" s="565"/>
      <c r="I138" s="565"/>
      <c r="J138" s="565"/>
      <c r="K138" s="565"/>
    </row>
    <row r="139" spans="1:10" ht="15.75">
      <c r="A139" s="238"/>
      <c r="B139" s="193"/>
      <c r="C139" s="238"/>
      <c r="D139" s="238"/>
      <c r="E139" s="238"/>
      <c r="F139" s="238"/>
      <c r="G139" s="193"/>
      <c r="H139" s="279"/>
      <c r="I139" s="279"/>
      <c r="J139" s="193"/>
    </row>
    <row r="140" spans="2:31" ht="15.75" customHeight="1">
      <c r="B140" s="194" t="s">
        <v>629</v>
      </c>
      <c r="C140" s="194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</row>
    <row r="141" spans="2:31" ht="15.75" customHeight="1">
      <c r="B141" s="187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</row>
    <row r="142" spans="2:31" ht="15.75" customHeight="1">
      <c r="B142" s="194" t="s">
        <v>544</v>
      </c>
      <c r="C142" s="194"/>
      <c r="D142" s="194" t="s">
        <v>705</v>
      </c>
      <c r="E142" s="194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</row>
    <row r="143" spans="1:10" ht="15.75">
      <c r="A143" s="238"/>
      <c r="B143" s="193"/>
      <c r="C143" s="238"/>
      <c r="D143" s="238"/>
      <c r="E143" s="238"/>
      <c r="F143" s="238"/>
      <c r="G143" s="193"/>
      <c r="H143" s="279"/>
      <c r="I143" s="279"/>
      <c r="J143" s="193"/>
    </row>
    <row r="144" spans="1:10" ht="15.75">
      <c r="A144" s="238"/>
      <c r="B144" s="224" t="s">
        <v>630</v>
      </c>
      <c r="C144" s="238"/>
      <c r="D144" s="238"/>
      <c r="E144" s="238"/>
      <c r="F144" s="238"/>
      <c r="G144" s="193"/>
      <c r="H144" s="279"/>
      <c r="I144" s="279"/>
      <c r="J144" s="193"/>
    </row>
    <row r="145" spans="1:10" ht="15.75">
      <c r="A145" s="284"/>
      <c r="B145" s="284"/>
      <c r="C145" s="284"/>
      <c r="D145" s="284"/>
      <c r="E145" s="238"/>
      <c r="F145" s="238"/>
      <c r="G145" s="193"/>
      <c r="H145" s="279"/>
      <c r="I145" s="279"/>
      <c r="J145" s="193"/>
    </row>
    <row r="146" spans="1:36" ht="22.5" customHeight="1">
      <c r="A146" s="535" t="s">
        <v>547</v>
      </c>
      <c r="B146" s="567" t="s">
        <v>568</v>
      </c>
      <c r="C146" s="567" t="s">
        <v>631</v>
      </c>
      <c r="D146" s="567" t="s">
        <v>632</v>
      </c>
      <c r="E146" s="567" t="s">
        <v>633</v>
      </c>
      <c r="F146" s="568" t="s">
        <v>581</v>
      </c>
      <c r="G146" s="569"/>
      <c r="H146" s="570"/>
      <c r="I146" s="258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</row>
    <row r="147" spans="1:36" ht="56.25" customHeight="1">
      <c r="A147" s="536"/>
      <c r="B147" s="567"/>
      <c r="C147" s="567"/>
      <c r="D147" s="567"/>
      <c r="E147" s="567"/>
      <c r="F147" s="247" t="s">
        <v>634</v>
      </c>
      <c r="G147" s="226" t="s">
        <v>559</v>
      </c>
      <c r="H147" s="228" t="s">
        <v>565</v>
      </c>
      <c r="I147" s="273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193"/>
    </row>
    <row r="148" spans="1:36" ht="15.75">
      <c r="A148" s="202">
        <v>1</v>
      </c>
      <c r="B148" s="202">
        <v>2</v>
      </c>
      <c r="C148" s="202">
        <v>3</v>
      </c>
      <c r="D148" s="202">
        <v>4</v>
      </c>
      <c r="E148" s="202">
        <v>5</v>
      </c>
      <c r="F148" s="205">
        <v>6</v>
      </c>
      <c r="G148" s="231">
        <v>7</v>
      </c>
      <c r="H148" s="230">
        <v>8</v>
      </c>
      <c r="I148" s="232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  <c r="AH148" s="286"/>
      <c r="AI148" s="286"/>
      <c r="AJ148" s="193"/>
    </row>
    <row r="149" spans="1:36" ht="15.75">
      <c r="A149" s="239"/>
      <c r="B149" s="198"/>
      <c r="C149" s="216"/>
      <c r="D149" s="216"/>
      <c r="E149" s="216"/>
      <c r="F149" s="204"/>
      <c r="G149" s="256"/>
      <c r="H149" s="276"/>
      <c r="I149" s="277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  <c r="AJ149" s="193"/>
    </row>
    <row r="150" spans="1:36" ht="15.75">
      <c r="A150" s="239"/>
      <c r="B150" s="198"/>
      <c r="C150" s="216"/>
      <c r="D150" s="216"/>
      <c r="E150" s="216"/>
      <c r="F150" s="204"/>
      <c r="G150" s="256"/>
      <c r="H150" s="276"/>
      <c r="I150" s="277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193"/>
    </row>
    <row r="151" spans="1:36" ht="15.75">
      <c r="A151" s="602" t="s">
        <v>637</v>
      </c>
      <c r="B151" s="603"/>
      <c r="C151" s="216" t="s">
        <v>564</v>
      </c>
      <c r="D151" s="216" t="s">
        <v>564</v>
      </c>
      <c r="E151" s="216" t="s">
        <v>564</v>
      </c>
      <c r="F151" s="204"/>
      <c r="G151" s="256"/>
      <c r="H151" s="276"/>
      <c r="I151" s="277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  <c r="AJ151" s="193"/>
    </row>
    <row r="152" spans="1:10" ht="15.75">
      <c r="A152" s="238"/>
      <c r="B152" s="193"/>
      <c r="C152" s="238"/>
      <c r="D152" s="238"/>
      <c r="E152" s="238"/>
      <c r="F152" s="238"/>
      <c r="G152" s="193"/>
      <c r="H152" s="279"/>
      <c r="I152" s="279"/>
      <c r="J152" s="193"/>
    </row>
    <row r="153" spans="1:11" ht="151.5" customHeight="1">
      <c r="A153" s="564" t="s">
        <v>638</v>
      </c>
      <c r="B153" s="564"/>
      <c r="C153" s="564"/>
      <c r="D153" s="564"/>
      <c r="E153" s="564"/>
      <c r="F153" s="564"/>
      <c r="G153" s="564"/>
      <c r="H153" s="564"/>
      <c r="I153" s="564"/>
      <c r="J153" s="564"/>
      <c r="K153" s="564"/>
    </row>
    <row r="154" spans="1:10" ht="15.75">
      <c r="A154" s="238"/>
      <c r="B154" s="193"/>
      <c r="C154" s="238"/>
      <c r="D154" s="238"/>
      <c r="E154" s="238"/>
      <c r="F154" s="238"/>
      <c r="G154" s="193"/>
      <c r="H154" s="279"/>
      <c r="I154" s="279"/>
      <c r="J154" s="193"/>
    </row>
    <row r="155" spans="1:10" ht="15.75">
      <c r="A155" s="284"/>
      <c r="B155" s="284" t="s">
        <v>639</v>
      </c>
      <c r="C155" s="284"/>
      <c r="D155" s="284"/>
      <c r="E155" s="284"/>
      <c r="F155" s="238"/>
      <c r="G155" s="193"/>
      <c r="H155" s="279"/>
      <c r="I155" s="279"/>
      <c r="J155" s="193"/>
    </row>
    <row r="156" spans="1:10" ht="15.75">
      <c r="A156" s="238"/>
      <c r="B156" s="193"/>
      <c r="C156" s="238"/>
      <c r="D156" s="238"/>
      <c r="E156" s="238"/>
      <c r="F156" s="238"/>
      <c r="G156" s="193"/>
      <c r="H156" s="279"/>
      <c r="I156" s="279"/>
      <c r="J156" s="193"/>
    </row>
    <row r="157" spans="1:10" ht="15.75">
      <c r="A157" s="535" t="s">
        <v>547</v>
      </c>
      <c r="B157" s="567" t="s">
        <v>568</v>
      </c>
      <c r="C157" s="567" t="s">
        <v>640</v>
      </c>
      <c r="D157" s="567" t="s">
        <v>641</v>
      </c>
      <c r="E157" s="568" t="s">
        <v>581</v>
      </c>
      <c r="F157" s="569"/>
      <c r="G157" s="570"/>
      <c r="H157" s="258"/>
      <c r="I157" s="279"/>
      <c r="J157" s="193"/>
    </row>
    <row r="158" spans="1:10" ht="31.5">
      <c r="A158" s="536"/>
      <c r="B158" s="567"/>
      <c r="C158" s="567"/>
      <c r="D158" s="567"/>
      <c r="E158" s="271" t="s">
        <v>642</v>
      </c>
      <c r="F158" s="272" t="s">
        <v>559</v>
      </c>
      <c r="G158" s="237" t="s">
        <v>565</v>
      </c>
      <c r="H158" s="273"/>
      <c r="I158" s="279"/>
      <c r="J158" s="193"/>
    </row>
    <row r="159" spans="1:10" ht="15.75">
      <c r="A159" s="282">
        <v>1</v>
      </c>
      <c r="B159" s="283">
        <v>2</v>
      </c>
      <c r="C159" s="283">
        <v>3</v>
      </c>
      <c r="D159" s="283">
        <v>4</v>
      </c>
      <c r="E159" s="275">
        <v>5</v>
      </c>
      <c r="F159" s="231">
        <v>6</v>
      </c>
      <c r="G159" s="230">
        <v>7</v>
      </c>
      <c r="H159" s="232"/>
      <c r="I159" s="279"/>
      <c r="J159" s="193"/>
    </row>
    <row r="160" spans="1:10" ht="15.75">
      <c r="A160" s="201"/>
      <c r="B160" s="197"/>
      <c r="C160" s="203"/>
      <c r="D160" s="203"/>
      <c r="E160" s="276"/>
      <c r="F160" s="256"/>
      <c r="G160" s="276"/>
      <c r="H160" s="277"/>
      <c r="I160" s="279"/>
      <c r="J160" s="193"/>
    </row>
    <row r="161" spans="1:10" ht="15.75">
      <c r="A161" s="201"/>
      <c r="B161" s="197"/>
      <c r="C161" s="203"/>
      <c r="D161" s="203"/>
      <c r="E161" s="276"/>
      <c r="F161" s="256"/>
      <c r="G161" s="276"/>
      <c r="H161" s="277"/>
      <c r="I161" s="279"/>
      <c r="J161" s="193"/>
    </row>
    <row r="162" spans="1:10" ht="15.75">
      <c r="A162" s="561" t="s">
        <v>563</v>
      </c>
      <c r="B162" s="563"/>
      <c r="C162" s="203" t="s">
        <v>564</v>
      </c>
      <c r="D162" s="203" t="s">
        <v>564</v>
      </c>
      <c r="E162" s="276"/>
      <c r="F162" s="256"/>
      <c r="G162" s="276"/>
      <c r="H162" s="277"/>
      <c r="I162" s="279"/>
      <c r="J162" s="193"/>
    </row>
    <row r="163" spans="1:10" ht="15.75">
      <c r="A163" s="238"/>
      <c r="B163" s="193"/>
      <c r="C163" s="238"/>
      <c r="D163" s="238"/>
      <c r="E163" s="238"/>
      <c r="F163" s="238"/>
      <c r="G163" s="193"/>
      <c r="H163" s="279"/>
      <c r="I163" s="279"/>
      <c r="J163" s="193"/>
    </row>
    <row r="164" spans="1:11" ht="36" customHeight="1">
      <c r="A164" s="575" t="s">
        <v>643</v>
      </c>
      <c r="B164" s="575"/>
      <c r="C164" s="575"/>
      <c r="D164" s="575"/>
      <c r="E164" s="575"/>
      <c r="F164" s="575"/>
      <c r="G164" s="575"/>
      <c r="H164" s="575"/>
      <c r="I164" s="575"/>
      <c r="J164" s="575"/>
      <c r="K164" s="575"/>
    </row>
    <row r="165" spans="1:10" ht="15.75">
      <c r="A165" s="238"/>
      <c r="B165" s="193"/>
      <c r="C165" s="238"/>
      <c r="D165" s="238"/>
      <c r="E165" s="238"/>
      <c r="F165" s="238"/>
      <c r="G165" s="193"/>
      <c r="H165" s="279"/>
      <c r="I165" s="279"/>
      <c r="J165" s="193"/>
    </row>
    <row r="166" spans="1:10" ht="15.75">
      <c r="A166" s="284"/>
      <c r="B166" s="284" t="s">
        <v>644</v>
      </c>
      <c r="C166" s="284"/>
      <c r="D166" s="284"/>
      <c r="E166" s="284"/>
      <c r="F166" s="284"/>
      <c r="G166" s="193"/>
      <c r="H166" s="279"/>
      <c r="I166" s="279"/>
      <c r="J166" s="193"/>
    </row>
    <row r="167" spans="1:10" ht="15.75">
      <c r="A167" s="238"/>
      <c r="B167" s="193"/>
      <c r="C167" s="238"/>
      <c r="D167" s="238"/>
      <c r="E167" s="238"/>
      <c r="F167" s="238"/>
      <c r="G167" s="193"/>
      <c r="H167" s="279"/>
      <c r="I167" s="279"/>
      <c r="J167" s="193"/>
    </row>
    <row r="168" spans="1:10" ht="15.75" customHeight="1">
      <c r="A168" s="535" t="s">
        <v>547</v>
      </c>
      <c r="B168" s="567" t="s">
        <v>1</v>
      </c>
      <c r="C168" s="567" t="s">
        <v>645</v>
      </c>
      <c r="D168" s="567" t="s">
        <v>646</v>
      </c>
      <c r="E168" s="567" t="s">
        <v>647</v>
      </c>
      <c r="F168" s="568" t="s">
        <v>581</v>
      </c>
      <c r="G168" s="569"/>
      <c r="H168" s="570"/>
      <c r="I168" s="258"/>
      <c r="J168" s="193"/>
    </row>
    <row r="169" spans="1:10" ht="47.25">
      <c r="A169" s="536"/>
      <c r="B169" s="567"/>
      <c r="C169" s="567"/>
      <c r="D169" s="567"/>
      <c r="E169" s="567"/>
      <c r="F169" s="270" t="s">
        <v>634</v>
      </c>
      <c r="G169" s="237" t="s">
        <v>559</v>
      </c>
      <c r="H169" s="237" t="s">
        <v>565</v>
      </c>
      <c r="I169" s="273"/>
      <c r="J169" s="193"/>
    </row>
    <row r="170" spans="1:10" ht="15.75">
      <c r="A170" s="202">
        <v>1</v>
      </c>
      <c r="B170" s="202">
        <v>2</v>
      </c>
      <c r="C170" s="202">
        <v>3</v>
      </c>
      <c r="D170" s="202">
        <v>4</v>
      </c>
      <c r="E170" s="202">
        <v>5</v>
      </c>
      <c r="F170" s="205">
        <v>6</v>
      </c>
      <c r="G170" s="230">
        <v>7</v>
      </c>
      <c r="H170" s="230">
        <v>8</v>
      </c>
      <c r="I170" s="232"/>
      <c r="J170" s="193"/>
    </row>
    <row r="171" spans="1:10" ht="15.75">
      <c r="A171" s="239"/>
      <c r="B171" s="198"/>
      <c r="C171" s="216"/>
      <c r="D171" s="216"/>
      <c r="E171" s="216"/>
      <c r="F171" s="204"/>
      <c r="G171" s="276"/>
      <c r="H171" s="276"/>
      <c r="I171" s="277"/>
      <c r="J171" s="193"/>
    </row>
    <row r="172" spans="1:10" ht="15.75">
      <c r="A172" s="239"/>
      <c r="B172" s="198"/>
      <c r="C172" s="216"/>
      <c r="D172" s="216"/>
      <c r="E172" s="216"/>
      <c r="F172" s="204"/>
      <c r="G172" s="276"/>
      <c r="H172" s="276"/>
      <c r="I172" s="277"/>
      <c r="J172" s="193"/>
    </row>
    <row r="173" spans="1:10" ht="15.75">
      <c r="A173" s="602" t="s">
        <v>637</v>
      </c>
      <c r="B173" s="603"/>
      <c r="C173" s="216" t="s">
        <v>564</v>
      </c>
      <c r="D173" s="216" t="s">
        <v>564</v>
      </c>
      <c r="E173" s="216" t="s">
        <v>564</v>
      </c>
      <c r="F173" s="204"/>
      <c r="G173" s="276"/>
      <c r="H173" s="276"/>
      <c r="I173" s="277"/>
      <c r="J173" s="193"/>
    </row>
    <row r="174" spans="1:10" ht="15.75">
      <c r="A174" s="238"/>
      <c r="B174" s="193"/>
      <c r="C174" s="238"/>
      <c r="D174" s="238"/>
      <c r="E174" s="238"/>
      <c r="F174" s="238"/>
      <c r="G174" s="193"/>
      <c r="H174" s="279"/>
      <c r="I174" s="279"/>
      <c r="J174" s="193"/>
    </row>
    <row r="175" spans="1:11" ht="66.75" customHeight="1">
      <c r="A175" s="564" t="s">
        <v>651</v>
      </c>
      <c r="B175" s="575"/>
      <c r="C175" s="575"/>
      <c r="D175" s="575"/>
      <c r="E175" s="575"/>
      <c r="F175" s="575"/>
      <c r="G175" s="575"/>
      <c r="H175" s="575"/>
      <c r="I175" s="575"/>
      <c r="J175" s="575"/>
      <c r="K175" s="575"/>
    </row>
    <row r="176" spans="1:10" ht="15.75">
      <c r="A176" s="238"/>
      <c r="B176" s="193"/>
      <c r="C176" s="238"/>
      <c r="D176" s="238"/>
      <c r="E176" s="238"/>
      <c r="F176" s="238"/>
      <c r="G176" s="193"/>
      <c r="H176" s="279"/>
      <c r="I176" s="279"/>
      <c r="J176" s="193"/>
    </row>
    <row r="177" spans="1:10" ht="15.75">
      <c r="A177" s="284"/>
      <c r="B177" s="284" t="s">
        <v>652</v>
      </c>
      <c r="C177" s="284"/>
      <c r="D177" s="284"/>
      <c r="E177" s="284"/>
      <c r="F177" s="238"/>
      <c r="G177" s="193"/>
      <c r="H177" s="279"/>
      <c r="I177" s="279"/>
      <c r="J177" s="193"/>
    </row>
    <row r="178" spans="1:10" ht="15.75">
      <c r="A178" s="238"/>
      <c r="B178" s="193"/>
      <c r="C178" s="238"/>
      <c r="D178" s="238"/>
      <c r="E178" s="238"/>
      <c r="F178" s="238"/>
      <c r="G178" s="193"/>
      <c r="H178" s="279"/>
      <c r="I178" s="279"/>
      <c r="J178" s="193"/>
    </row>
    <row r="179" spans="1:10" ht="15.75">
      <c r="A179" s="535" t="s">
        <v>547</v>
      </c>
      <c r="B179" s="567" t="s">
        <v>1</v>
      </c>
      <c r="C179" s="567" t="s">
        <v>653</v>
      </c>
      <c r="D179" s="567" t="s">
        <v>654</v>
      </c>
      <c r="E179" s="568" t="s">
        <v>581</v>
      </c>
      <c r="F179" s="569"/>
      <c r="G179" s="570"/>
      <c r="H179" s="258"/>
      <c r="I179" s="279"/>
      <c r="J179" s="193"/>
    </row>
    <row r="180" spans="1:10" ht="47.25">
      <c r="A180" s="536"/>
      <c r="B180" s="567"/>
      <c r="C180" s="567"/>
      <c r="D180" s="567"/>
      <c r="E180" s="271" t="s">
        <v>655</v>
      </c>
      <c r="F180" s="272" t="s">
        <v>559</v>
      </c>
      <c r="G180" s="237" t="s">
        <v>565</v>
      </c>
      <c r="H180" s="273"/>
      <c r="I180" s="279"/>
      <c r="J180" s="193"/>
    </row>
    <row r="181" spans="1:10" ht="15.75">
      <c r="A181" s="282">
        <v>1</v>
      </c>
      <c r="B181" s="283">
        <v>2</v>
      </c>
      <c r="C181" s="283">
        <v>3</v>
      </c>
      <c r="D181" s="283">
        <v>4</v>
      </c>
      <c r="E181" s="275">
        <v>5</v>
      </c>
      <c r="F181" s="231">
        <v>5</v>
      </c>
      <c r="G181" s="230">
        <v>6</v>
      </c>
      <c r="H181" s="232"/>
      <c r="I181" s="279"/>
      <c r="J181" s="193"/>
    </row>
    <row r="182" spans="1:10" ht="15.75">
      <c r="A182" s="201"/>
      <c r="B182" s="197"/>
      <c r="C182" s="203"/>
      <c r="D182" s="203"/>
      <c r="E182" s="276"/>
      <c r="F182" s="256"/>
      <c r="G182" s="276"/>
      <c r="H182" s="277"/>
      <c r="I182" s="279"/>
      <c r="J182" s="193"/>
    </row>
    <row r="183" spans="1:10" ht="15.75">
      <c r="A183" s="201"/>
      <c r="B183" s="197"/>
      <c r="C183" s="203"/>
      <c r="D183" s="203"/>
      <c r="E183" s="276"/>
      <c r="F183" s="256"/>
      <c r="G183" s="276"/>
      <c r="H183" s="277"/>
      <c r="I183" s="279"/>
      <c r="J183" s="193"/>
    </row>
    <row r="184" spans="1:10" ht="15.75">
      <c r="A184" s="561" t="s">
        <v>563</v>
      </c>
      <c r="B184" s="563"/>
      <c r="C184" s="203" t="s">
        <v>564</v>
      </c>
      <c r="D184" s="203" t="s">
        <v>564</v>
      </c>
      <c r="E184" s="276" t="s">
        <v>564</v>
      </c>
      <c r="F184" s="256"/>
      <c r="G184" s="276"/>
      <c r="H184" s="277"/>
      <c r="I184" s="279"/>
      <c r="J184" s="193"/>
    </row>
    <row r="185" spans="1:10" ht="15.75">
      <c r="A185" s="238"/>
      <c r="B185" s="193"/>
      <c r="C185" s="238"/>
      <c r="D185" s="238"/>
      <c r="E185" s="238"/>
      <c r="F185" s="238"/>
      <c r="G185" s="193"/>
      <c r="H185" s="279"/>
      <c r="I185" s="279"/>
      <c r="J185" s="193"/>
    </row>
    <row r="186" spans="1:11" ht="48" customHeight="1">
      <c r="A186" s="578" t="s">
        <v>656</v>
      </c>
      <c r="B186" s="578"/>
      <c r="C186" s="578"/>
      <c r="D186" s="578"/>
      <c r="E186" s="578"/>
      <c r="F186" s="578"/>
      <c r="G186" s="578"/>
      <c r="H186" s="578"/>
      <c r="I186" s="578"/>
      <c r="J186" s="578"/>
      <c r="K186" s="578"/>
    </row>
    <row r="187" spans="1:10" ht="15.75">
      <c r="A187" s="238"/>
      <c r="B187" s="193"/>
      <c r="C187" s="238"/>
      <c r="D187" s="238"/>
      <c r="E187" s="238"/>
      <c r="F187" s="238"/>
      <c r="G187" s="193"/>
      <c r="H187" s="279"/>
      <c r="I187" s="279"/>
      <c r="J187" s="193"/>
    </row>
    <row r="188" spans="1:10" ht="15.75">
      <c r="A188" s="284"/>
      <c r="B188" s="284" t="s">
        <v>657</v>
      </c>
      <c r="C188" s="284"/>
      <c r="D188" s="284"/>
      <c r="E188" s="284"/>
      <c r="F188" s="284"/>
      <c r="G188" s="193"/>
      <c r="H188" s="279"/>
      <c r="I188" s="279"/>
      <c r="J188" s="193"/>
    </row>
    <row r="189" spans="1:10" ht="15.75">
      <c r="A189" s="238"/>
      <c r="B189" s="193"/>
      <c r="C189" s="238"/>
      <c r="D189" s="238"/>
      <c r="E189" s="238"/>
      <c r="F189" s="238"/>
      <c r="G189" s="193"/>
      <c r="H189" s="279"/>
      <c r="I189" s="279"/>
      <c r="J189" s="193"/>
    </row>
    <row r="190" spans="1:10" ht="15.75">
      <c r="A190" s="535" t="s">
        <v>547</v>
      </c>
      <c r="B190" s="567" t="s">
        <v>568</v>
      </c>
      <c r="C190" s="567" t="s">
        <v>658</v>
      </c>
      <c r="D190" s="567" t="s">
        <v>659</v>
      </c>
      <c r="E190" s="568" t="s">
        <v>581</v>
      </c>
      <c r="F190" s="569"/>
      <c r="G190" s="570"/>
      <c r="H190" s="258"/>
      <c r="I190" s="279"/>
      <c r="J190" s="193"/>
    </row>
    <row r="191" spans="1:10" ht="47.25">
      <c r="A191" s="536"/>
      <c r="B191" s="567"/>
      <c r="C191" s="567"/>
      <c r="D191" s="567"/>
      <c r="E191" s="271" t="s">
        <v>660</v>
      </c>
      <c r="F191" s="272" t="s">
        <v>559</v>
      </c>
      <c r="G191" s="237" t="s">
        <v>565</v>
      </c>
      <c r="H191" s="273"/>
      <c r="I191" s="279"/>
      <c r="J191" s="193"/>
    </row>
    <row r="192" spans="1:10" ht="15.75">
      <c r="A192" s="282">
        <v>1</v>
      </c>
      <c r="B192" s="283">
        <v>2</v>
      </c>
      <c r="C192" s="283">
        <v>3</v>
      </c>
      <c r="D192" s="283">
        <v>4</v>
      </c>
      <c r="E192" s="275">
        <v>5</v>
      </c>
      <c r="F192" s="231">
        <v>5</v>
      </c>
      <c r="G192" s="230">
        <v>6</v>
      </c>
      <c r="H192" s="232"/>
      <c r="I192" s="279"/>
      <c r="J192" s="193"/>
    </row>
    <row r="193" spans="1:10" ht="15.75">
      <c r="A193" s="201"/>
      <c r="B193" s="197"/>
      <c r="C193" s="203"/>
      <c r="D193" s="203"/>
      <c r="E193" s="276"/>
      <c r="F193" s="256"/>
      <c r="G193" s="276"/>
      <c r="H193" s="277"/>
      <c r="I193" s="279"/>
      <c r="J193" s="193"/>
    </row>
    <row r="194" spans="1:10" ht="15.75">
      <c r="A194" s="201"/>
      <c r="B194" s="197"/>
      <c r="C194" s="203"/>
      <c r="D194" s="203"/>
      <c r="E194" s="276"/>
      <c r="F194" s="256"/>
      <c r="G194" s="276"/>
      <c r="H194" s="277"/>
      <c r="I194" s="279"/>
      <c r="J194" s="193"/>
    </row>
    <row r="195" spans="1:10" ht="15.75">
      <c r="A195" s="561" t="s">
        <v>563</v>
      </c>
      <c r="B195" s="563"/>
      <c r="C195" s="203" t="s">
        <v>564</v>
      </c>
      <c r="D195" s="203" t="s">
        <v>564</v>
      </c>
      <c r="E195" s="276"/>
      <c r="F195" s="256"/>
      <c r="G195" s="276"/>
      <c r="H195" s="277"/>
      <c r="I195" s="279"/>
      <c r="J195" s="193"/>
    </row>
    <row r="196" spans="1:10" ht="15.75">
      <c r="A196" s="238"/>
      <c r="B196" s="193"/>
      <c r="C196" s="238"/>
      <c r="D196" s="238"/>
      <c r="E196" s="238"/>
      <c r="F196" s="238"/>
      <c r="G196" s="193"/>
      <c r="H196" s="279"/>
      <c r="I196" s="279"/>
      <c r="J196" s="193"/>
    </row>
    <row r="197" spans="1:11" ht="53.25" customHeight="1">
      <c r="A197" s="564" t="s">
        <v>673</v>
      </c>
      <c r="B197" s="564"/>
      <c r="C197" s="564"/>
      <c r="D197" s="564"/>
      <c r="E197" s="564"/>
      <c r="F197" s="564"/>
      <c r="G197" s="564"/>
      <c r="H197" s="564"/>
      <c r="I197" s="564"/>
      <c r="J197" s="564"/>
      <c r="K197" s="564"/>
    </row>
    <row r="198" spans="1:10" ht="15.75">
      <c r="A198" s="238"/>
      <c r="B198" s="193"/>
      <c r="C198" s="238"/>
      <c r="D198" s="238"/>
      <c r="E198" s="238"/>
      <c r="F198" s="238"/>
      <c r="G198" s="193"/>
      <c r="H198" s="279"/>
      <c r="I198" s="279"/>
      <c r="J198" s="193"/>
    </row>
    <row r="199" spans="1:10" ht="15.75">
      <c r="A199" s="284"/>
      <c r="B199" s="284" t="s">
        <v>674</v>
      </c>
      <c r="C199" s="284"/>
      <c r="D199" s="284"/>
      <c r="E199" s="284"/>
      <c r="F199" s="238"/>
      <c r="G199" s="193"/>
      <c r="H199" s="279"/>
      <c r="I199" s="279"/>
      <c r="J199" s="193"/>
    </row>
    <row r="200" spans="1:10" ht="15.75">
      <c r="A200" s="238"/>
      <c r="B200" s="193"/>
      <c r="C200" s="238"/>
      <c r="D200" s="238"/>
      <c r="E200" s="238"/>
      <c r="F200" s="238"/>
      <c r="G200" s="193"/>
      <c r="H200" s="279"/>
      <c r="I200" s="279"/>
      <c r="J200" s="193"/>
    </row>
    <row r="201" spans="1:10" ht="15.75">
      <c r="A201" s="535" t="s">
        <v>547</v>
      </c>
      <c r="B201" s="567" t="s">
        <v>1</v>
      </c>
      <c r="C201" s="567" t="s">
        <v>675</v>
      </c>
      <c r="D201" s="568" t="s">
        <v>581</v>
      </c>
      <c r="E201" s="569"/>
      <c r="F201" s="570"/>
      <c r="G201" s="258"/>
      <c r="H201" s="279"/>
      <c r="I201" s="279"/>
      <c r="J201" s="193"/>
    </row>
    <row r="202" spans="1:10" ht="31.5">
      <c r="A202" s="536"/>
      <c r="B202" s="567"/>
      <c r="C202" s="567"/>
      <c r="D202" s="271" t="s">
        <v>676</v>
      </c>
      <c r="E202" s="237" t="s">
        <v>559</v>
      </c>
      <c r="F202" s="237" t="s">
        <v>565</v>
      </c>
      <c r="G202" s="273"/>
      <c r="H202" s="279"/>
      <c r="I202" s="279"/>
      <c r="J202" s="193"/>
    </row>
    <row r="203" spans="1:10" ht="15.75">
      <c r="A203" s="282">
        <v>1</v>
      </c>
      <c r="B203" s="283">
        <v>2</v>
      </c>
      <c r="C203" s="283">
        <v>3</v>
      </c>
      <c r="D203" s="275">
        <v>5</v>
      </c>
      <c r="E203" s="230">
        <v>5</v>
      </c>
      <c r="F203" s="230">
        <v>6</v>
      </c>
      <c r="G203" s="232"/>
      <c r="H203" s="279"/>
      <c r="I203" s="279"/>
      <c r="J203" s="193"/>
    </row>
    <row r="204" spans="1:10" ht="15.75">
      <c r="A204" s="201"/>
      <c r="B204" s="197"/>
      <c r="C204" s="203"/>
      <c r="D204" s="276"/>
      <c r="E204" s="276"/>
      <c r="F204" s="276"/>
      <c r="G204" s="277"/>
      <c r="H204" s="279"/>
      <c r="I204" s="279"/>
      <c r="J204" s="193"/>
    </row>
    <row r="205" spans="1:10" ht="15.75">
      <c r="A205" s="201"/>
      <c r="B205" s="197"/>
      <c r="C205" s="203"/>
      <c r="D205" s="276"/>
      <c r="E205" s="276"/>
      <c r="F205" s="276"/>
      <c r="G205" s="277"/>
      <c r="H205" s="279"/>
      <c r="I205" s="279"/>
      <c r="J205" s="193"/>
    </row>
    <row r="206" spans="1:10" ht="15.75">
      <c r="A206" s="561" t="s">
        <v>563</v>
      </c>
      <c r="B206" s="563"/>
      <c r="C206" s="203" t="s">
        <v>564</v>
      </c>
      <c r="D206" s="276"/>
      <c r="E206" s="276"/>
      <c r="F206" s="276"/>
      <c r="G206" s="277"/>
      <c r="H206" s="279"/>
      <c r="I206" s="279"/>
      <c r="J206" s="193"/>
    </row>
    <row r="207" spans="1:10" ht="15.75">
      <c r="A207" s="238"/>
      <c r="B207" s="193"/>
      <c r="C207" s="238"/>
      <c r="D207" s="238"/>
      <c r="E207" s="238"/>
      <c r="F207" s="238"/>
      <c r="G207" s="193"/>
      <c r="H207" s="279"/>
      <c r="I207" s="279"/>
      <c r="J207" s="193"/>
    </row>
    <row r="208" spans="1:11" ht="149.25" customHeight="1">
      <c r="A208" s="564" t="s">
        <v>681</v>
      </c>
      <c r="B208" s="564"/>
      <c r="C208" s="564"/>
      <c r="D208" s="564"/>
      <c r="E208" s="564"/>
      <c r="F208" s="564"/>
      <c r="G208" s="564"/>
      <c r="H208" s="564"/>
      <c r="I208" s="564"/>
      <c r="J208" s="564"/>
      <c r="K208" s="564"/>
    </row>
    <row r="209" spans="1:10" ht="15.75">
      <c r="A209" s="238"/>
      <c r="B209" s="193"/>
      <c r="C209" s="238"/>
      <c r="D209" s="238"/>
      <c r="E209" s="238"/>
      <c r="F209" s="238"/>
      <c r="G209" s="193"/>
      <c r="H209" s="279"/>
      <c r="I209" s="279"/>
      <c r="J209" s="193"/>
    </row>
    <row r="210" spans="1:4" ht="15.75">
      <c r="A210" s="195"/>
      <c r="B210" s="195" t="s">
        <v>682</v>
      </c>
      <c r="C210" s="195"/>
      <c r="D210" s="195"/>
    </row>
    <row r="211" ht="15.75">
      <c r="B211" s="187"/>
    </row>
    <row r="212" spans="1:10" ht="25.5" customHeight="1">
      <c r="A212" s="535" t="s">
        <v>547</v>
      </c>
      <c r="B212" s="535" t="s">
        <v>568</v>
      </c>
      <c r="C212" s="579"/>
      <c r="D212" s="523" t="s">
        <v>653</v>
      </c>
      <c r="E212" s="525" t="s">
        <v>683</v>
      </c>
      <c r="F212" s="533" t="s">
        <v>581</v>
      </c>
      <c r="G212" s="533"/>
      <c r="H212" s="533"/>
      <c r="I212" s="311"/>
      <c r="J212" s="227"/>
    </row>
    <row r="213" spans="1:10" ht="54.75" customHeight="1">
      <c r="A213" s="536"/>
      <c r="B213" s="536"/>
      <c r="C213" s="580"/>
      <c r="D213" s="524"/>
      <c r="E213" s="526"/>
      <c r="F213" s="228" t="s">
        <v>684</v>
      </c>
      <c r="G213" s="228" t="s">
        <v>559</v>
      </c>
      <c r="H213" s="228" t="s">
        <v>565</v>
      </c>
      <c r="I213" s="193"/>
      <c r="J213" s="229"/>
    </row>
    <row r="214" spans="1:10" ht="15.75" customHeight="1">
      <c r="A214" s="233">
        <v>1</v>
      </c>
      <c r="B214" s="581">
        <v>2</v>
      </c>
      <c r="C214" s="582"/>
      <c r="D214" s="233">
        <v>3</v>
      </c>
      <c r="E214" s="233">
        <v>4</v>
      </c>
      <c r="F214" s="233">
        <v>5</v>
      </c>
      <c r="G214" s="233">
        <v>6</v>
      </c>
      <c r="H214" s="233">
        <v>7</v>
      </c>
      <c r="I214" s="279"/>
      <c r="J214" s="279"/>
    </row>
    <row r="215" spans="1:10" ht="15.75">
      <c r="A215" s="207"/>
      <c r="B215" s="568"/>
      <c r="C215" s="570"/>
      <c r="D215" s="207"/>
      <c r="E215" s="207"/>
      <c r="F215" s="207"/>
      <c r="G215" s="233"/>
      <c r="H215" s="233"/>
      <c r="I215" s="279"/>
      <c r="J215" s="193"/>
    </row>
    <row r="216" spans="1:10" ht="15.75">
      <c r="A216" s="207"/>
      <c r="B216" s="568"/>
      <c r="C216" s="570"/>
      <c r="D216" s="207"/>
      <c r="E216" s="207"/>
      <c r="F216" s="207"/>
      <c r="G216" s="207"/>
      <c r="H216" s="233"/>
      <c r="I216" s="279"/>
      <c r="J216" s="193"/>
    </row>
    <row r="217" spans="1:10" ht="15.75">
      <c r="A217" s="530" t="s">
        <v>573</v>
      </c>
      <c r="B217" s="585"/>
      <c r="C217" s="531"/>
      <c r="D217" s="201"/>
      <c r="E217" s="201" t="s">
        <v>564</v>
      </c>
      <c r="F217" s="201"/>
      <c r="G217" s="207"/>
      <c r="H217" s="207"/>
      <c r="I217" s="193"/>
      <c r="J217" s="193"/>
    </row>
    <row r="218" ht="15.75">
      <c r="B218" s="187"/>
    </row>
    <row r="219" spans="1:4" ht="15.75">
      <c r="A219" s="195"/>
      <c r="B219" s="195" t="s">
        <v>688</v>
      </c>
      <c r="C219" s="195"/>
      <c r="D219" s="195"/>
    </row>
    <row r="220" ht="15.75">
      <c r="B220" s="187"/>
    </row>
    <row r="221" spans="1:10" ht="25.5" customHeight="1">
      <c r="A221" s="535" t="s">
        <v>547</v>
      </c>
      <c r="B221" s="535" t="s">
        <v>568</v>
      </c>
      <c r="C221" s="579"/>
      <c r="D221" s="523" t="s">
        <v>653</v>
      </c>
      <c r="E221" s="525" t="s">
        <v>683</v>
      </c>
      <c r="F221" s="533" t="s">
        <v>581</v>
      </c>
      <c r="G221" s="533"/>
      <c r="H221" s="533"/>
      <c r="I221" s="311"/>
      <c r="J221" s="227"/>
    </row>
    <row r="222" spans="1:10" ht="54.75" customHeight="1">
      <c r="A222" s="536"/>
      <c r="B222" s="536"/>
      <c r="C222" s="580"/>
      <c r="D222" s="524"/>
      <c r="E222" s="526"/>
      <c r="F222" s="228" t="s">
        <v>684</v>
      </c>
      <c r="G222" s="228" t="s">
        <v>559</v>
      </c>
      <c r="H222" s="228" t="s">
        <v>565</v>
      </c>
      <c r="I222" s="193"/>
      <c r="J222" s="229"/>
    </row>
    <row r="223" spans="1:10" ht="15.75" customHeight="1">
      <c r="A223" s="233">
        <v>1</v>
      </c>
      <c r="B223" s="581">
        <v>2</v>
      </c>
      <c r="C223" s="582"/>
      <c r="D223" s="233">
        <v>3</v>
      </c>
      <c r="E223" s="233">
        <v>4</v>
      </c>
      <c r="F223" s="233">
        <v>5</v>
      </c>
      <c r="G223" s="233">
        <v>6</v>
      </c>
      <c r="H223" s="233">
        <v>7</v>
      </c>
      <c r="I223" s="279"/>
      <c r="J223" s="279"/>
    </row>
    <row r="224" spans="1:10" ht="15.75">
      <c r="A224" s="207"/>
      <c r="B224" s="568"/>
      <c r="C224" s="570"/>
      <c r="D224" s="207"/>
      <c r="E224" s="207"/>
      <c r="F224" s="207"/>
      <c r="G224" s="233"/>
      <c r="H224" s="233"/>
      <c r="I224" s="279"/>
      <c r="J224" s="193"/>
    </row>
    <row r="225" spans="1:10" ht="15.75">
      <c r="A225" s="207"/>
      <c r="B225" s="568"/>
      <c r="C225" s="570"/>
      <c r="D225" s="207"/>
      <c r="E225" s="207"/>
      <c r="F225" s="207"/>
      <c r="G225" s="207"/>
      <c r="H225" s="233"/>
      <c r="I225" s="279"/>
      <c r="J225" s="193"/>
    </row>
    <row r="226" spans="1:10" ht="15.75">
      <c r="A226" s="530" t="s">
        <v>573</v>
      </c>
      <c r="B226" s="585"/>
      <c r="C226" s="531"/>
      <c r="D226" s="201"/>
      <c r="E226" s="201" t="s">
        <v>564</v>
      </c>
      <c r="F226" s="201"/>
      <c r="G226" s="207"/>
      <c r="H226" s="207"/>
      <c r="I226" s="193"/>
      <c r="J226" s="193"/>
    </row>
    <row r="227" spans="1:11" ht="135" customHeight="1">
      <c r="A227" s="554" t="s">
        <v>694</v>
      </c>
      <c r="B227" s="554"/>
      <c r="C227" s="554"/>
      <c r="D227" s="554"/>
      <c r="E227" s="554"/>
      <c r="F227" s="554"/>
      <c r="G227" s="554"/>
      <c r="H227" s="554"/>
      <c r="I227" s="554"/>
      <c r="J227" s="554"/>
      <c r="K227" s="554"/>
    </row>
    <row r="228" ht="15.75">
      <c r="B228" s="187"/>
    </row>
    <row r="229" spans="1:4" ht="15.75">
      <c r="A229" s="195"/>
      <c r="B229" s="195" t="s">
        <v>695</v>
      </c>
      <c r="C229" s="195"/>
      <c r="D229" s="195"/>
    </row>
    <row r="230" ht="15.75">
      <c r="B230" s="187"/>
    </row>
    <row r="231" spans="1:10" ht="25.5" customHeight="1">
      <c r="A231" s="535" t="s">
        <v>547</v>
      </c>
      <c r="B231" s="535" t="s">
        <v>568</v>
      </c>
      <c r="C231" s="579"/>
      <c r="D231" s="523" t="s">
        <v>653</v>
      </c>
      <c r="E231" s="525" t="s">
        <v>683</v>
      </c>
      <c r="F231" s="533" t="s">
        <v>581</v>
      </c>
      <c r="G231" s="533"/>
      <c r="H231" s="533"/>
      <c r="I231" s="311"/>
      <c r="J231" s="227"/>
    </row>
    <row r="232" spans="1:10" ht="54.75" customHeight="1">
      <c r="A232" s="536"/>
      <c r="B232" s="536"/>
      <c r="C232" s="580"/>
      <c r="D232" s="524"/>
      <c r="E232" s="526"/>
      <c r="F232" s="228" t="s">
        <v>684</v>
      </c>
      <c r="G232" s="228" t="s">
        <v>559</v>
      </c>
      <c r="H232" s="228" t="s">
        <v>565</v>
      </c>
      <c r="I232" s="193"/>
      <c r="J232" s="229"/>
    </row>
    <row r="233" spans="1:10" ht="15.75" customHeight="1">
      <c r="A233" s="233">
        <v>1</v>
      </c>
      <c r="B233" s="581">
        <v>2</v>
      </c>
      <c r="C233" s="582"/>
      <c r="D233" s="233">
        <v>3</v>
      </c>
      <c r="E233" s="233">
        <v>4</v>
      </c>
      <c r="F233" s="233">
        <v>5</v>
      </c>
      <c r="G233" s="233">
        <v>6</v>
      </c>
      <c r="H233" s="233">
        <v>7</v>
      </c>
      <c r="I233" s="279"/>
      <c r="J233" s="279"/>
    </row>
    <row r="234" spans="1:10" ht="15.75">
      <c r="A234" s="207"/>
      <c r="B234" s="568"/>
      <c r="C234" s="570"/>
      <c r="D234" s="207"/>
      <c r="E234" s="207"/>
      <c r="F234" s="207"/>
      <c r="G234" s="233"/>
      <c r="H234" s="233"/>
      <c r="I234" s="279"/>
      <c r="J234" s="193"/>
    </row>
    <row r="235" spans="1:10" ht="15.75">
      <c r="A235" s="207"/>
      <c r="B235" s="568"/>
      <c r="C235" s="570"/>
      <c r="D235" s="207"/>
      <c r="E235" s="207"/>
      <c r="F235" s="207"/>
      <c r="G235" s="207"/>
      <c r="H235" s="233"/>
      <c r="I235" s="279"/>
      <c r="J235" s="193"/>
    </row>
    <row r="236" spans="1:10" ht="15.75">
      <c r="A236" s="530" t="s">
        <v>573</v>
      </c>
      <c r="B236" s="585"/>
      <c r="C236" s="531"/>
      <c r="D236" s="201"/>
      <c r="E236" s="201" t="s">
        <v>564</v>
      </c>
      <c r="F236" s="201"/>
      <c r="G236" s="207"/>
      <c r="H236" s="207"/>
      <c r="I236" s="193"/>
      <c r="J236" s="193"/>
    </row>
    <row r="239" spans="1:7" s="320" customFormat="1" ht="18.75">
      <c r="A239" s="318" t="s">
        <v>696</v>
      </c>
      <c r="B239" s="318"/>
      <c r="C239" s="318"/>
      <c r="D239" s="319"/>
      <c r="E239" s="319"/>
      <c r="F239" s="319"/>
      <c r="G239" s="319"/>
    </row>
    <row r="240" spans="1:4" s="320" customFormat="1" ht="15.75">
      <c r="A240" s="321"/>
      <c r="B240" s="322"/>
      <c r="C240" s="322"/>
      <c r="D240" s="323"/>
    </row>
    <row r="241" spans="1:5" s="320" customFormat="1" ht="42" customHeight="1">
      <c r="A241" s="324" t="s">
        <v>547</v>
      </c>
      <c r="B241" s="596" t="s">
        <v>697</v>
      </c>
      <c r="C241" s="596"/>
      <c r="D241" s="325" t="s">
        <v>698</v>
      </c>
      <c r="E241" s="326"/>
    </row>
    <row r="242" spans="1:5" s="320" customFormat="1" ht="24.75" customHeight="1">
      <c r="A242" s="327">
        <v>1</v>
      </c>
      <c r="B242" s="597" t="s">
        <v>699</v>
      </c>
      <c r="C242" s="597"/>
      <c r="D242" s="328">
        <f>J23+G40+G49+G67+H89+G104+F119+F134+G151+F162+G173+F184+F195+E206+G217+G226+G236</f>
        <v>4443729.81497</v>
      </c>
      <c r="E242" s="326"/>
    </row>
    <row r="243" spans="1:5" s="320" customFormat="1" ht="24.75" customHeight="1">
      <c r="A243" s="327">
        <v>2</v>
      </c>
      <c r="B243" s="597" t="s">
        <v>565</v>
      </c>
      <c r="C243" s="597"/>
      <c r="D243" s="328">
        <f>J28+H40+H49+H67+I89+H104+G119+G134+H151+G162+H173+G184+G195+F206+H217+H226+H236</f>
        <v>876776.9993779999</v>
      </c>
      <c r="E243" s="329"/>
    </row>
    <row r="244" spans="1:5" s="320" customFormat="1" ht="25.5" customHeight="1">
      <c r="A244" s="592" t="s">
        <v>700</v>
      </c>
      <c r="B244" s="593"/>
      <c r="C244" s="594"/>
      <c r="D244" s="330">
        <f>SUM(D242:D243)</f>
        <v>5320506.814347999</v>
      </c>
      <c r="E244" s="329"/>
    </row>
    <row r="247" spans="1:5" ht="15.75">
      <c r="A247" s="187" t="s">
        <v>701</v>
      </c>
      <c r="C247" s="187" t="s">
        <v>702</v>
      </c>
      <c r="E247" s="187" t="s">
        <v>703</v>
      </c>
    </row>
    <row r="249" spans="1:5" ht="15.75">
      <c r="A249" s="187" t="s">
        <v>13</v>
      </c>
      <c r="C249" s="187" t="s">
        <v>702</v>
      </c>
      <c r="E249" s="187" t="s">
        <v>704</v>
      </c>
    </row>
    <row r="250" spans="1:7" s="320" customFormat="1" ht="15.75">
      <c r="A250" s="331"/>
      <c r="B250" s="332"/>
      <c r="C250" s="332"/>
      <c r="D250" s="595"/>
      <c r="E250" s="595"/>
      <c r="F250" s="595"/>
      <c r="G250" s="595"/>
    </row>
  </sheetData>
  <sheetProtection/>
  <mergeCells count="176">
    <mergeCell ref="B243:C243"/>
    <mergeCell ref="A244:C244"/>
    <mergeCell ref="D250:E250"/>
    <mergeCell ref="F250:G250"/>
    <mergeCell ref="B233:C233"/>
    <mergeCell ref="B234:C234"/>
    <mergeCell ref="B235:C235"/>
    <mergeCell ref="A236:C236"/>
    <mergeCell ref="B241:C241"/>
    <mergeCell ref="B242:C242"/>
    <mergeCell ref="A226:C226"/>
    <mergeCell ref="A227:K227"/>
    <mergeCell ref="A231:A232"/>
    <mergeCell ref="B231:C232"/>
    <mergeCell ref="D231:D232"/>
    <mergeCell ref="E231:E232"/>
    <mergeCell ref="F231:H231"/>
    <mergeCell ref="D221:D222"/>
    <mergeCell ref="E221:E222"/>
    <mergeCell ref="F221:H221"/>
    <mergeCell ref="B223:C223"/>
    <mergeCell ref="B224:C224"/>
    <mergeCell ref="B225:C225"/>
    <mergeCell ref="B214:C214"/>
    <mergeCell ref="B215:C215"/>
    <mergeCell ref="B216:C216"/>
    <mergeCell ref="A217:C217"/>
    <mergeCell ref="A221:A222"/>
    <mergeCell ref="B221:C222"/>
    <mergeCell ref="A206:B206"/>
    <mergeCell ref="A208:K208"/>
    <mergeCell ref="A212:A213"/>
    <mergeCell ref="B212:C213"/>
    <mergeCell ref="D212:D213"/>
    <mergeCell ref="E212:E213"/>
    <mergeCell ref="F212:H212"/>
    <mergeCell ref="A195:B195"/>
    <mergeCell ref="A197:K197"/>
    <mergeCell ref="A201:A202"/>
    <mergeCell ref="B201:B202"/>
    <mergeCell ref="C201:C202"/>
    <mergeCell ref="D201:F201"/>
    <mergeCell ref="A184:B184"/>
    <mergeCell ref="A186:K186"/>
    <mergeCell ref="A190:A191"/>
    <mergeCell ref="B190:B191"/>
    <mergeCell ref="C190:C191"/>
    <mergeCell ref="D190:D191"/>
    <mergeCell ref="E190:G190"/>
    <mergeCell ref="A173:B173"/>
    <mergeCell ref="A175:K175"/>
    <mergeCell ref="A179:A180"/>
    <mergeCell ref="B179:B180"/>
    <mergeCell ref="C179:C180"/>
    <mergeCell ref="D179:D180"/>
    <mergeCell ref="E179:G179"/>
    <mergeCell ref="A162:B162"/>
    <mergeCell ref="A164:K164"/>
    <mergeCell ref="A168:A169"/>
    <mergeCell ref="B168:B169"/>
    <mergeCell ref="C168:C169"/>
    <mergeCell ref="D168:D169"/>
    <mergeCell ref="E168:E169"/>
    <mergeCell ref="F168:H168"/>
    <mergeCell ref="A151:B151"/>
    <mergeCell ref="A153:K153"/>
    <mergeCell ref="A157:A158"/>
    <mergeCell ref="B157:B158"/>
    <mergeCell ref="C157:C158"/>
    <mergeCell ref="D157:D158"/>
    <mergeCell ref="E157:G157"/>
    <mergeCell ref="A134:B134"/>
    <mergeCell ref="A136:K136"/>
    <mergeCell ref="A138:K138"/>
    <mergeCell ref="A146:A147"/>
    <mergeCell ref="B146:B147"/>
    <mergeCell ref="C146:C147"/>
    <mergeCell ref="D146:D147"/>
    <mergeCell ref="E146:E147"/>
    <mergeCell ref="F146:H146"/>
    <mergeCell ref="A119:B119"/>
    <mergeCell ref="A121:K121"/>
    <mergeCell ref="A123:K123"/>
    <mergeCell ref="A129:A130"/>
    <mergeCell ref="B129:B130"/>
    <mergeCell ref="C129:C130"/>
    <mergeCell ref="D129:D130"/>
    <mergeCell ref="E129:G129"/>
    <mergeCell ref="A109:E109"/>
    <mergeCell ref="A114:A115"/>
    <mergeCell ref="B114:B115"/>
    <mergeCell ref="C114:C115"/>
    <mergeCell ref="D114:D115"/>
    <mergeCell ref="E114:G114"/>
    <mergeCell ref="B101:C101"/>
    <mergeCell ref="B102:C102"/>
    <mergeCell ref="B103:C103"/>
    <mergeCell ref="A104:C104"/>
    <mergeCell ref="A106:K106"/>
    <mergeCell ref="A108:K108"/>
    <mergeCell ref="A93:K93"/>
    <mergeCell ref="A99:A100"/>
    <mergeCell ref="B99:C100"/>
    <mergeCell ref="D99:D100"/>
    <mergeCell ref="E99:E100"/>
    <mergeCell ref="F99:H99"/>
    <mergeCell ref="B85:D85"/>
    <mergeCell ref="B86:D86"/>
    <mergeCell ref="B87:D87"/>
    <mergeCell ref="B88:D88"/>
    <mergeCell ref="A89:D89"/>
    <mergeCell ref="A91:K91"/>
    <mergeCell ref="B79:D79"/>
    <mergeCell ref="B80:D80"/>
    <mergeCell ref="B81:D81"/>
    <mergeCell ref="B82:D82"/>
    <mergeCell ref="B83:D83"/>
    <mergeCell ref="B84:D84"/>
    <mergeCell ref="A67:D67"/>
    <mergeCell ref="A69:K69"/>
    <mergeCell ref="B70:F70"/>
    <mergeCell ref="A71:K71"/>
    <mergeCell ref="A77:A78"/>
    <mergeCell ref="B77:D78"/>
    <mergeCell ref="E77:E78"/>
    <mergeCell ref="F77:F78"/>
    <mergeCell ref="G77:I77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A49:B49"/>
    <mergeCell ref="B51:I51"/>
    <mergeCell ref="A53:A54"/>
    <mergeCell ref="B53:D54"/>
    <mergeCell ref="E53:E54"/>
    <mergeCell ref="F53:H53"/>
    <mergeCell ref="A40:B40"/>
    <mergeCell ref="B42:F42"/>
    <mergeCell ref="A44:A45"/>
    <mergeCell ref="B44:B45"/>
    <mergeCell ref="C44:C45"/>
    <mergeCell ref="D44:D45"/>
    <mergeCell ref="E44:E45"/>
    <mergeCell ref="F44:H44"/>
    <mergeCell ref="B33:I33"/>
    <mergeCell ref="A35:A36"/>
    <mergeCell ref="B35:B36"/>
    <mergeCell ref="C35:C36"/>
    <mergeCell ref="D35:D36"/>
    <mergeCell ref="E35:E36"/>
    <mergeCell ref="F35:H35"/>
    <mergeCell ref="J12:J14"/>
    <mergeCell ref="K12:K14"/>
    <mergeCell ref="E13:G13"/>
    <mergeCell ref="A29:B29"/>
    <mergeCell ref="A31:K31"/>
    <mergeCell ref="B32:K32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4" manualBreakCount="4">
    <brk id="32" max="255" man="1"/>
    <brk id="67" max="255" man="1"/>
    <brk id="106" max="255" man="1"/>
    <brk id="19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55"/>
  <sheetViews>
    <sheetView view="pageBreakPreview" zoomScale="60" zoomScalePageLayoutView="0" workbookViewId="0" topLeftCell="A217">
      <selection activeCell="B232" sqref="B232:C232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22.8515625" style="187" customWidth="1"/>
    <col min="6" max="6" width="26.00390625" style="187" customWidth="1"/>
    <col min="7" max="7" width="20.421875" style="187" customWidth="1"/>
    <col min="8" max="8" width="16.2812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2" width="18.00390625" style="187" bestFit="1" customWidth="1"/>
    <col min="13" max="16384" width="9.140625" style="187" customWidth="1"/>
  </cols>
  <sheetData>
    <row r="1" spans="5:6" ht="15.75" customHeight="1">
      <c r="E1" s="501"/>
      <c r="F1" s="501"/>
    </row>
    <row r="2" spans="1:26" s="191" customFormat="1" ht="40.5" customHeight="1">
      <c r="A2" s="502" t="s">
        <v>541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503"/>
      <c r="C3" s="503"/>
      <c r="D3" s="503"/>
      <c r="E3" s="503"/>
      <c r="F3" s="503"/>
      <c r="G3" s="503"/>
      <c r="H3" s="503"/>
      <c r="I3" s="503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504" t="s">
        <v>542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</row>
    <row r="5" spans="2:31" ht="15.75" customHeight="1">
      <c r="B5" s="187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</row>
    <row r="6" spans="2:31" ht="15.75" customHeight="1">
      <c r="B6" s="187" t="s">
        <v>543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</row>
    <row r="7" spans="2:31" ht="15.75" customHeight="1">
      <c r="B7" s="187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</row>
    <row r="8" spans="2:31" ht="15.75" customHeight="1">
      <c r="B8" s="187" t="s">
        <v>717</v>
      </c>
      <c r="D8" s="194" t="s">
        <v>718</v>
      </c>
      <c r="E8" s="194"/>
      <c r="F8" s="194"/>
      <c r="G8" s="194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</row>
    <row r="9" spans="2:31" ht="15.75" customHeight="1">
      <c r="B9" s="187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</row>
    <row r="10" spans="2:31" ht="15.75" customHeight="1">
      <c r="B10" s="195" t="s">
        <v>546</v>
      </c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</row>
    <row r="11" spans="2:31" ht="15.75" customHeight="1">
      <c r="B11" s="187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</row>
    <row r="12" spans="1:83" ht="48" customHeight="1">
      <c r="A12" s="505" t="s">
        <v>547</v>
      </c>
      <c r="B12" s="506" t="s">
        <v>548</v>
      </c>
      <c r="C12" s="506" t="s">
        <v>549</v>
      </c>
      <c r="D12" s="509" t="s">
        <v>550</v>
      </c>
      <c r="E12" s="510"/>
      <c r="F12" s="510"/>
      <c r="G12" s="511"/>
      <c r="H12" s="512" t="s">
        <v>551</v>
      </c>
      <c r="I12" s="512" t="s">
        <v>552</v>
      </c>
      <c r="J12" s="512" t="s">
        <v>553</v>
      </c>
      <c r="K12" s="515" t="s">
        <v>554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3"/>
      <c r="BY12" s="193"/>
      <c r="BZ12" s="193"/>
      <c r="CA12" s="193"/>
      <c r="CB12" s="193"/>
      <c r="CC12" s="193"/>
      <c r="CD12" s="193"/>
      <c r="CE12" s="193"/>
    </row>
    <row r="13" spans="1:73" ht="15.75" customHeight="1">
      <c r="A13" s="505"/>
      <c r="B13" s="507"/>
      <c r="C13" s="507"/>
      <c r="D13" s="197" t="s">
        <v>36</v>
      </c>
      <c r="E13" s="516" t="s">
        <v>4</v>
      </c>
      <c r="F13" s="517"/>
      <c r="G13" s="517"/>
      <c r="H13" s="513"/>
      <c r="I13" s="513"/>
      <c r="J13" s="513"/>
      <c r="K13" s="51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</row>
    <row r="14" spans="1:31" ht="46.5" customHeight="1">
      <c r="A14" s="505"/>
      <c r="B14" s="508"/>
      <c r="C14" s="508"/>
      <c r="D14" s="199"/>
      <c r="E14" s="200" t="s">
        <v>555</v>
      </c>
      <c r="F14" s="200" t="s">
        <v>556</v>
      </c>
      <c r="G14" s="198" t="s">
        <v>557</v>
      </c>
      <c r="H14" s="514"/>
      <c r="I14" s="514"/>
      <c r="J14" s="514"/>
      <c r="K14" s="51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3"/>
      <c r="AB14" s="193"/>
      <c r="AC14" s="193"/>
      <c r="AD14" s="193"/>
      <c r="AE14" s="193"/>
    </row>
    <row r="15" spans="1:31" ht="15.75" customHeight="1">
      <c r="A15" s="201">
        <v>1</v>
      </c>
      <c r="B15" s="202">
        <v>2</v>
      </c>
      <c r="C15" s="202">
        <v>3</v>
      </c>
      <c r="D15" s="203">
        <v>4</v>
      </c>
      <c r="E15" s="204">
        <v>5</v>
      </c>
      <c r="F15" s="205">
        <v>6</v>
      </c>
      <c r="G15" s="202">
        <v>7</v>
      </c>
      <c r="H15" s="202">
        <v>8</v>
      </c>
      <c r="I15" s="202">
        <v>9</v>
      </c>
      <c r="J15" s="205">
        <v>10</v>
      </c>
      <c r="K15" s="205">
        <v>11</v>
      </c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193"/>
      <c r="AB15" s="193"/>
      <c r="AC15" s="193"/>
      <c r="AD15" s="193"/>
      <c r="AE15" s="193"/>
    </row>
    <row r="16" spans="1:31" ht="15.75" customHeight="1">
      <c r="A16" s="207"/>
      <c r="B16" s="349" t="s">
        <v>558</v>
      </c>
      <c r="C16" s="333">
        <v>4</v>
      </c>
      <c r="D16" s="333">
        <f>1782.7+4999.97</f>
        <v>6782.67</v>
      </c>
      <c r="E16" s="240"/>
      <c r="F16" s="240"/>
      <c r="G16" s="333"/>
      <c r="H16" s="333"/>
      <c r="I16" s="333">
        <v>1.15</v>
      </c>
      <c r="J16" s="240">
        <f>(C16*D16*(1+H16/100)*I16*12)</f>
        <v>374403.38399999996</v>
      </c>
      <c r="K16" s="350" t="s">
        <v>719</v>
      </c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</row>
    <row r="17" spans="1:31" ht="15.75" customHeight="1">
      <c r="A17" s="207"/>
      <c r="B17" s="349" t="s">
        <v>560</v>
      </c>
      <c r="C17" s="333">
        <v>3</v>
      </c>
      <c r="D17" s="333">
        <f>1782.7+5000</f>
        <v>6782.7</v>
      </c>
      <c r="E17" s="240"/>
      <c r="F17" s="240"/>
      <c r="G17" s="333"/>
      <c r="H17" s="333"/>
      <c r="I17" s="333">
        <v>1.15</v>
      </c>
      <c r="J17" s="240">
        <f>(C17*D17*(1+H17/100)*I17*12)</f>
        <v>280803.7799999999</v>
      </c>
      <c r="K17" s="350" t="s">
        <v>719</v>
      </c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</row>
    <row r="18" spans="1:31" ht="15.75" customHeight="1">
      <c r="A18" s="207"/>
      <c r="B18" s="349" t="s">
        <v>561</v>
      </c>
      <c r="C18" s="333">
        <v>44</v>
      </c>
      <c r="D18" s="333">
        <f>3060+3103.13</f>
        <v>6163.13</v>
      </c>
      <c r="E18" s="240"/>
      <c r="F18" s="240"/>
      <c r="G18" s="333"/>
      <c r="H18" s="333"/>
      <c r="I18" s="333">
        <v>1.15</v>
      </c>
      <c r="J18" s="240">
        <f>(C18*D18*(1+H18/100)*I18*12)</f>
        <v>3742252.5360000003</v>
      </c>
      <c r="K18" s="350" t="s">
        <v>719</v>
      </c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</row>
    <row r="19" spans="1:31" ht="15.75" customHeight="1">
      <c r="A19" s="207"/>
      <c r="B19" s="349" t="s">
        <v>562</v>
      </c>
      <c r="C19" s="333">
        <v>4</v>
      </c>
      <c r="D19" s="333">
        <v>1782.7</v>
      </c>
      <c r="E19" s="240"/>
      <c r="F19" s="240"/>
      <c r="G19" s="333"/>
      <c r="H19" s="333"/>
      <c r="I19" s="333">
        <v>1.15</v>
      </c>
      <c r="J19" s="240">
        <f>(C19*D19*(1+H19/100)*I19*12)</f>
        <v>98405.04000000001</v>
      </c>
      <c r="K19" s="350" t="s">
        <v>719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</row>
    <row r="20" spans="1:31" ht="15.75" customHeight="1">
      <c r="A20" s="207"/>
      <c r="B20" s="351" t="s">
        <v>563</v>
      </c>
      <c r="C20" s="352" t="s">
        <v>564</v>
      </c>
      <c r="D20" s="352"/>
      <c r="E20" s="353" t="s">
        <v>564</v>
      </c>
      <c r="F20" s="353" t="s">
        <v>564</v>
      </c>
      <c r="G20" s="352" t="s">
        <v>564</v>
      </c>
      <c r="H20" s="352" t="s">
        <v>564</v>
      </c>
      <c r="I20" s="352" t="s">
        <v>564</v>
      </c>
      <c r="J20" s="354">
        <f>SUM(J16:J19)</f>
        <v>4495864.74</v>
      </c>
      <c r="K20" s="355" t="s">
        <v>564</v>
      </c>
      <c r="L20" s="398">
        <f>F58+J20</f>
        <v>5853615.7</v>
      </c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</row>
    <row r="21" spans="1:11" ht="15.75" customHeight="1">
      <c r="A21" s="193"/>
      <c r="B21" s="221"/>
      <c r="C21" s="222"/>
      <c r="D21" s="221"/>
      <c r="E21" s="221"/>
      <c r="F21" s="221"/>
      <c r="G21" s="221"/>
      <c r="H21" s="221"/>
      <c r="I21" s="221"/>
      <c r="J21" s="223"/>
      <c r="K21" s="224"/>
    </row>
    <row r="22" spans="1:11" ht="208.5" customHeight="1">
      <c r="A22" s="520" t="s">
        <v>566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</row>
    <row r="23" spans="2:11" ht="15.75" customHeight="1">
      <c r="B23" s="521"/>
      <c r="C23" s="521"/>
      <c r="D23" s="521"/>
      <c r="E23" s="521"/>
      <c r="F23" s="521"/>
      <c r="G23" s="521"/>
      <c r="H23" s="521"/>
      <c r="I23" s="521"/>
      <c r="J23" s="521"/>
      <c r="K23" s="521"/>
    </row>
    <row r="24" spans="2:9" ht="21" customHeight="1">
      <c r="B24" s="522" t="s">
        <v>567</v>
      </c>
      <c r="C24" s="522"/>
      <c r="D24" s="522"/>
      <c r="E24" s="522"/>
      <c r="F24" s="522"/>
      <c r="G24" s="522"/>
      <c r="H24" s="522"/>
      <c r="I24" s="522"/>
    </row>
    <row r="26" spans="1:9" ht="45" customHeight="1">
      <c r="A26" s="523" t="s">
        <v>547</v>
      </c>
      <c r="B26" s="525" t="s">
        <v>568</v>
      </c>
      <c r="C26" s="525" t="s">
        <v>569</v>
      </c>
      <c r="D26" s="525" t="s">
        <v>570</v>
      </c>
      <c r="E26" s="525" t="s">
        <v>571</v>
      </c>
      <c r="F26" s="228" t="s">
        <v>720</v>
      </c>
      <c r="G26" s="356"/>
      <c r="H26" s="356"/>
      <c r="I26" s="227"/>
    </row>
    <row r="27" spans="1:9" ht="39.75" customHeight="1">
      <c r="A27" s="524"/>
      <c r="B27" s="526"/>
      <c r="C27" s="526"/>
      <c r="D27" s="526"/>
      <c r="E27" s="526"/>
      <c r="F27" s="270" t="s">
        <v>721</v>
      </c>
      <c r="G27" s="357"/>
      <c r="H27" s="356"/>
      <c r="I27" s="229"/>
    </row>
    <row r="28" spans="1:9" ht="15.75">
      <c r="A28" s="207">
        <v>1</v>
      </c>
      <c r="B28" s="230">
        <v>2</v>
      </c>
      <c r="C28" s="230">
        <v>3</v>
      </c>
      <c r="D28" s="230">
        <v>4</v>
      </c>
      <c r="E28" s="230">
        <v>5</v>
      </c>
      <c r="F28" s="230">
        <v>6</v>
      </c>
      <c r="G28" s="232"/>
      <c r="H28" s="232"/>
      <c r="I28" s="232"/>
    </row>
    <row r="29" spans="1:9" ht="15.75">
      <c r="A29" s="207"/>
      <c r="B29" s="201"/>
      <c r="C29" s="207"/>
      <c r="D29" s="207"/>
      <c r="E29" s="207"/>
      <c r="F29" s="358"/>
      <c r="G29" s="279"/>
      <c r="H29" s="279"/>
      <c r="I29" s="193"/>
    </row>
    <row r="30" spans="1:9" ht="15.75">
      <c r="A30" s="207"/>
      <c r="B30" s="201"/>
      <c r="C30" s="207"/>
      <c r="D30" s="207"/>
      <c r="E30" s="207"/>
      <c r="F30" s="359"/>
      <c r="G30" s="279"/>
      <c r="H30" s="279"/>
      <c r="I30" s="193"/>
    </row>
    <row r="31" spans="1:9" ht="15.75">
      <c r="A31" s="530" t="s">
        <v>573</v>
      </c>
      <c r="B31" s="531"/>
      <c r="C31" s="201" t="s">
        <v>564</v>
      </c>
      <c r="D31" s="201" t="s">
        <v>564</v>
      </c>
      <c r="E31" s="201" t="s">
        <v>564</v>
      </c>
      <c r="F31" s="359">
        <f>SUM(F29:F30)</f>
        <v>0</v>
      </c>
      <c r="G31" s="279"/>
      <c r="H31" s="279"/>
      <c r="I31" s="193"/>
    </row>
    <row r="33" spans="2:6" ht="15.75">
      <c r="B33" s="532" t="s">
        <v>574</v>
      </c>
      <c r="C33" s="532"/>
      <c r="D33" s="532"/>
      <c r="E33" s="532"/>
      <c r="F33" s="532"/>
    </row>
    <row r="35" spans="1:9" ht="39.75" customHeight="1">
      <c r="A35" s="523" t="s">
        <v>547</v>
      </c>
      <c r="B35" s="525" t="s">
        <v>568</v>
      </c>
      <c r="C35" s="525" t="s">
        <v>575</v>
      </c>
      <c r="D35" s="525" t="s">
        <v>576</v>
      </c>
      <c r="E35" s="525" t="s">
        <v>577</v>
      </c>
      <c r="F35" s="228" t="s">
        <v>720</v>
      </c>
      <c r="G35" s="356"/>
      <c r="H35" s="356"/>
      <c r="I35" s="227"/>
    </row>
    <row r="36" spans="1:9" ht="39" customHeight="1">
      <c r="A36" s="524"/>
      <c r="B36" s="526"/>
      <c r="C36" s="526"/>
      <c r="D36" s="526"/>
      <c r="E36" s="526"/>
      <c r="F36" s="270" t="s">
        <v>721</v>
      </c>
      <c r="G36" s="357"/>
      <c r="H36" s="356"/>
      <c r="I36" s="229"/>
    </row>
    <row r="37" spans="1:9" ht="15.75">
      <c r="A37" s="207">
        <v>1</v>
      </c>
      <c r="B37" s="230">
        <v>2</v>
      </c>
      <c r="C37" s="230">
        <v>3</v>
      </c>
      <c r="D37" s="230">
        <v>4</v>
      </c>
      <c r="E37" s="230">
        <v>5</v>
      </c>
      <c r="F37" s="230">
        <v>6</v>
      </c>
      <c r="G37" s="232"/>
      <c r="H37" s="232"/>
      <c r="I37" s="232"/>
    </row>
    <row r="38" spans="1:9" ht="15.75">
      <c r="A38" s="207"/>
      <c r="B38" s="201"/>
      <c r="C38" s="207"/>
      <c r="D38" s="207"/>
      <c r="E38" s="207"/>
      <c r="F38" s="358"/>
      <c r="G38" s="279"/>
      <c r="H38" s="279"/>
      <c r="I38" s="193"/>
    </row>
    <row r="39" spans="1:9" ht="15.75">
      <c r="A39" s="207"/>
      <c r="B39" s="201"/>
      <c r="C39" s="207"/>
      <c r="D39" s="207"/>
      <c r="E39" s="207"/>
      <c r="F39" s="359"/>
      <c r="G39" s="279"/>
      <c r="H39" s="279"/>
      <c r="I39" s="193"/>
    </row>
    <row r="40" spans="1:9" ht="15.75">
      <c r="A40" s="530" t="s">
        <v>573</v>
      </c>
      <c r="B40" s="531"/>
      <c r="C40" s="201" t="s">
        <v>564</v>
      </c>
      <c r="D40" s="201" t="s">
        <v>564</v>
      </c>
      <c r="E40" s="201" t="s">
        <v>564</v>
      </c>
      <c r="F40" s="359">
        <f>SUM(F38:F39)</f>
        <v>0</v>
      </c>
      <c r="G40" s="279"/>
      <c r="H40" s="279"/>
      <c r="I40" s="193"/>
    </row>
    <row r="42" spans="2:9" ht="33" customHeight="1">
      <c r="B42" s="534" t="s">
        <v>578</v>
      </c>
      <c r="C42" s="534"/>
      <c r="D42" s="534"/>
      <c r="E42" s="534"/>
      <c r="F42" s="534"/>
      <c r="G42" s="534"/>
      <c r="H42" s="534"/>
      <c r="I42" s="534"/>
    </row>
    <row r="44" spans="1:9" ht="31.5" customHeight="1">
      <c r="A44" s="535" t="s">
        <v>547</v>
      </c>
      <c r="B44" s="533" t="s">
        <v>579</v>
      </c>
      <c r="C44" s="533"/>
      <c r="D44" s="533"/>
      <c r="E44" s="525" t="s">
        <v>580</v>
      </c>
      <c r="F44" s="228" t="s">
        <v>581</v>
      </c>
      <c r="G44" s="356"/>
      <c r="H44" s="356"/>
      <c r="I44" s="235"/>
    </row>
    <row r="45" spans="1:9" ht="31.5" customHeight="1">
      <c r="A45" s="536"/>
      <c r="B45" s="533"/>
      <c r="C45" s="533"/>
      <c r="D45" s="533"/>
      <c r="E45" s="526"/>
      <c r="F45" s="270" t="s">
        <v>721</v>
      </c>
      <c r="G45" s="357"/>
      <c r="H45" s="356"/>
      <c r="I45" s="229"/>
    </row>
    <row r="46" spans="1:9" ht="17.25" customHeight="1">
      <c r="A46" s="236">
        <v>1</v>
      </c>
      <c r="B46" s="537">
        <v>2</v>
      </c>
      <c r="C46" s="537"/>
      <c r="D46" s="537"/>
      <c r="E46" s="201">
        <v>3</v>
      </c>
      <c r="F46" s="201">
        <v>4</v>
      </c>
      <c r="G46" s="238"/>
      <c r="H46" s="238"/>
      <c r="I46" s="238"/>
    </row>
    <row r="47" spans="1:9" s="189" customFormat="1" ht="32.25" customHeight="1">
      <c r="A47" s="239">
        <v>1</v>
      </c>
      <c r="B47" s="538" t="s">
        <v>583</v>
      </c>
      <c r="C47" s="539"/>
      <c r="D47" s="540"/>
      <c r="E47" s="233" t="s">
        <v>564</v>
      </c>
      <c r="F47" s="358"/>
      <c r="G47" s="279"/>
      <c r="H47" s="279"/>
      <c r="I47" s="193"/>
    </row>
    <row r="48" spans="1:9" ht="34.5" customHeight="1">
      <c r="A48" s="239" t="s">
        <v>584</v>
      </c>
      <c r="B48" s="538" t="s">
        <v>585</v>
      </c>
      <c r="C48" s="539"/>
      <c r="D48" s="540"/>
      <c r="E48" s="240">
        <f>J20</f>
        <v>4495864.74</v>
      </c>
      <c r="F48" s="240">
        <f>ROUND(E48*22%,2)-0.19</f>
        <v>989090.05</v>
      </c>
      <c r="G48" s="193"/>
      <c r="H48" s="193"/>
      <c r="I48" s="193"/>
    </row>
    <row r="49" spans="1:9" ht="16.5" customHeight="1">
      <c r="A49" s="239" t="s">
        <v>586</v>
      </c>
      <c r="B49" s="538" t="s">
        <v>587</v>
      </c>
      <c r="C49" s="539"/>
      <c r="D49" s="540"/>
      <c r="E49" s="241">
        <v>0</v>
      </c>
      <c r="F49" s="240">
        <f aca="true" t="shared" si="0" ref="F49:F56">E49*22%</f>
        <v>0</v>
      </c>
      <c r="G49" s="193"/>
      <c r="H49" s="193"/>
      <c r="I49" s="193"/>
    </row>
    <row r="50" spans="1:9" ht="34.5" customHeight="1">
      <c r="A50" s="239" t="s">
        <v>588</v>
      </c>
      <c r="B50" s="538" t="s">
        <v>589</v>
      </c>
      <c r="C50" s="539"/>
      <c r="D50" s="540"/>
      <c r="E50" s="241">
        <v>0</v>
      </c>
      <c r="F50" s="240">
        <f t="shared" si="0"/>
        <v>0</v>
      </c>
      <c r="G50" s="193"/>
      <c r="H50" s="193"/>
      <c r="I50" s="193"/>
    </row>
    <row r="51" spans="1:9" ht="33" customHeight="1">
      <c r="A51" s="239" t="s">
        <v>590</v>
      </c>
      <c r="B51" s="538" t="s">
        <v>591</v>
      </c>
      <c r="C51" s="539"/>
      <c r="D51" s="540"/>
      <c r="E51" s="241" t="s">
        <v>564</v>
      </c>
      <c r="F51" s="240">
        <v>0</v>
      </c>
      <c r="G51" s="193"/>
      <c r="H51" s="193"/>
      <c r="I51" s="193"/>
    </row>
    <row r="52" spans="1:9" ht="41.25" customHeight="1">
      <c r="A52" s="239" t="s">
        <v>592</v>
      </c>
      <c r="B52" s="541" t="s">
        <v>593</v>
      </c>
      <c r="C52" s="542"/>
      <c r="D52" s="543"/>
      <c r="E52" s="240">
        <f>E48</f>
        <v>4495864.74</v>
      </c>
      <c r="F52" s="240">
        <f>ROUND(E52*2.9%,2)</f>
        <v>130380.08</v>
      </c>
      <c r="G52" s="193"/>
      <c r="H52" s="193"/>
      <c r="I52" s="193"/>
    </row>
    <row r="53" spans="1:9" ht="34.5" customHeight="1">
      <c r="A53" s="239" t="s">
        <v>594</v>
      </c>
      <c r="B53" s="538" t="s">
        <v>595</v>
      </c>
      <c r="C53" s="539"/>
      <c r="D53" s="540"/>
      <c r="E53" s="241">
        <v>0</v>
      </c>
      <c r="F53" s="240">
        <f t="shared" si="0"/>
        <v>0</v>
      </c>
      <c r="G53" s="193"/>
      <c r="H53" s="193"/>
      <c r="I53" s="193"/>
    </row>
    <row r="54" spans="1:9" ht="33.75" customHeight="1">
      <c r="A54" s="239" t="s">
        <v>596</v>
      </c>
      <c r="B54" s="538" t="s">
        <v>597</v>
      </c>
      <c r="C54" s="539"/>
      <c r="D54" s="540"/>
      <c r="E54" s="240">
        <f>E52</f>
        <v>4495864.74</v>
      </c>
      <c r="F54" s="240">
        <f>ROUND(E54*0.2%,2)</f>
        <v>8991.73</v>
      </c>
      <c r="G54" s="193"/>
      <c r="H54" s="193"/>
      <c r="I54" s="193"/>
    </row>
    <row r="55" spans="1:9" ht="33.75" customHeight="1">
      <c r="A55" s="239" t="s">
        <v>598</v>
      </c>
      <c r="B55" s="538" t="s">
        <v>599</v>
      </c>
      <c r="C55" s="539"/>
      <c r="D55" s="540"/>
      <c r="E55" s="241">
        <v>0</v>
      </c>
      <c r="F55" s="240">
        <f t="shared" si="0"/>
        <v>0</v>
      </c>
      <c r="G55" s="193"/>
      <c r="H55" s="193"/>
      <c r="I55" s="193"/>
    </row>
    <row r="56" spans="1:9" ht="39.75" customHeight="1">
      <c r="A56" s="239" t="s">
        <v>600</v>
      </c>
      <c r="B56" s="538" t="s">
        <v>599</v>
      </c>
      <c r="C56" s="539"/>
      <c r="D56" s="540"/>
      <c r="E56" s="241">
        <v>0</v>
      </c>
      <c r="F56" s="240">
        <f t="shared" si="0"/>
        <v>0</v>
      </c>
      <c r="G56" s="193"/>
      <c r="H56" s="193"/>
      <c r="I56" s="193"/>
    </row>
    <row r="57" spans="1:9" ht="30" customHeight="1">
      <c r="A57" s="239" t="s">
        <v>601</v>
      </c>
      <c r="B57" s="538" t="s">
        <v>602</v>
      </c>
      <c r="C57" s="539"/>
      <c r="D57" s="540"/>
      <c r="E57" s="240">
        <f>E54</f>
        <v>4495864.74</v>
      </c>
      <c r="F57" s="240">
        <f>ROUND(E57*5.1%,2)</f>
        <v>229289.1</v>
      </c>
      <c r="G57" s="193"/>
      <c r="H57" s="193"/>
      <c r="I57" s="193"/>
    </row>
    <row r="58" spans="1:9" ht="30.75" customHeight="1">
      <c r="A58" s="544" t="s">
        <v>573</v>
      </c>
      <c r="B58" s="544"/>
      <c r="C58" s="544"/>
      <c r="D58" s="544"/>
      <c r="E58" s="241" t="s">
        <v>564</v>
      </c>
      <c r="F58" s="242">
        <f>SUM(F48:F57)</f>
        <v>1357750.9600000002</v>
      </c>
      <c r="G58" s="360"/>
      <c r="H58" s="360"/>
      <c r="I58" s="193"/>
    </row>
    <row r="59" spans="2:6" ht="16.5" customHeight="1">
      <c r="B59" s="244"/>
      <c r="C59" s="244"/>
      <c r="D59" s="244"/>
      <c r="E59" s="238"/>
      <c r="F59" s="193"/>
    </row>
    <row r="60" spans="1:11" ht="99" customHeight="1">
      <c r="A60" s="545" t="s">
        <v>603</v>
      </c>
      <c r="B60" s="545"/>
      <c r="C60" s="545"/>
      <c r="D60" s="545"/>
      <c r="E60" s="545"/>
      <c r="F60" s="545"/>
      <c r="G60" s="545"/>
      <c r="H60" s="545"/>
      <c r="I60" s="545"/>
      <c r="J60" s="545"/>
      <c r="K60" s="545"/>
    </row>
    <row r="61" spans="2:6" ht="21" customHeight="1">
      <c r="B61" s="546"/>
      <c r="C61" s="546"/>
      <c r="D61" s="546"/>
      <c r="E61" s="546"/>
      <c r="F61" s="546"/>
    </row>
    <row r="62" spans="1:11" s="246" customFormat="1" ht="27" customHeight="1">
      <c r="A62" s="547" t="s">
        <v>604</v>
      </c>
      <c r="B62" s="547"/>
      <c r="C62" s="547"/>
      <c r="D62" s="547"/>
      <c r="E62" s="547"/>
      <c r="F62" s="547"/>
      <c r="G62" s="547"/>
      <c r="H62" s="547"/>
      <c r="I62" s="547"/>
      <c r="J62" s="547"/>
      <c r="K62" s="547"/>
    </row>
    <row r="63" spans="1:11" s="246" customFormat="1" ht="16.5" customHeight="1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</row>
    <row r="64" spans="2:31" ht="15.75" customHeight="1">
      <c r="B64" s="187" t="s">
        <v>605</v>
      </c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</row>
    <row r="65" spans="2:31" ht="15.75" customHeight="1">
      <c r="B65" s="187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</row>
    <row r="66" spans="2:31" ht="15.75" customHeight="1">
      <c r="B66" s="187" t="s">
        <v>717</v>
      </c>
      <c r="D66" s="194" t="s">
        <v>718</v>
      </c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</row>
    <row r="67" spans="2:31" ht="15.75" customHeight="1">
      <c r="B67" s="187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</row>
    <row r="68" spans="1:9" s="246" customFormat="1" ht="33.75" customHeight="1">
      <c r="A68" s="535" t="s">
        <v>547</v>
      </c>
      <c r="B68" s="548" t="s">
        <v>1</v>
      </c>
      <c r="C68" s="548"/>
      <c r="D68" s="548"/>
      <c r="E68" s="548" t="s">
        <v>607</v>
      </c>
      <c r="F68" s="548" t="s">
        <v>608</v>
      </c>
      <c r="G68" s="228" t="s">
        <v>581</v>
      </c>
      <c r="H68" s="356"/>
      <c r="I68" s="356"/>
    </row>
    <row r="69" spans="1:49" s="246" customFormat="1" ht="51" customHeight="1">
      <c r="A69" s="536"/>
      <c r="B69" s="548"/>
      <c r="C69" s="548"/>
      <c r="D69" s="548"/>
      <c r="E69" s="548"/>
      <c r="F69" s="548"/>
      <c r="G69" s="228" t="s">
        <v>722</v>
      </c>
      <c r="H69" s="356"/>
      <c r="I69" s="356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</row>
    <row r="70" spans="1:49" s="246" customFormat="1" ht="15.75">
      <c r="A70" s="249">
        <v>1</v>
      </c>
      <c r="B70" s="549">
        <v>2</v>
      </c>
      <c r="C70" s="549"/>
      <c r="D70" s="549"/>
      <c r="E70" s="249">
        <v>3</v>
      </c>
      <c r="F70" s="250">
        <v>4</v>
      </c>
      <c r="G70" s="251">
        <v>4</v>
      </c>
      <c r="H70" s="361"/>
      <c r="I70" s="361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</row>
    <row r="71" spans="1:49" s="246" customFormat="1" ht="32.25" customHeight="1">
      <c r="A71" s="253" t="s">
        <v>610</v>
      </c>
      <c r="B71" s="550"/>
      <c r="C71" s="550"/>
      <c r="D71" s="550"/>
      <c r="E71" s="254"/>
      <c r="F71" s="255"/>
      <c r="G71" s="358"/>
      <c r="H71" s="279"/>
      <c r="I71" s="279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</row>
    <row r="72" spans="1:49" s="246" customFormat="1" ht="30.75" customHeight="1">
      <c r="A72" s="253" t="s">
        <v>590</v>
      </c>
      <c r="B72" s="550"/>
      <c r="C72" s="550"/>
      <c r="D72" s="550"/>
      <c r="E72" s="254"/>
      <c r="F72" s="255"/>
      <c r="G72" s="358"/>
      <c r="H72" s="279"/>
      <c r="I72" s="279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</row>
    <row r="73" spans="1:49" s="246" customFormat="1" ht="15.75">
      <c r="A73" s="602" t="s">
        <v>563</v>
      </c>
      <c r="B73" s="604"/>
      <c r="C73" s="604"/>
      <c r="D73" s="603"/>
      <c r="E73" s="254" t="s">
        <v>564</v>
      </c>
      <c r="F73" s="256" t="s">
        <v>564</v>
      </c>
      <c r="G73" s="266">
        <f>SUM(G71:G72)</f>
        <v>0</v>
      </c>
      <c r="H73" s="279"/>
      <c r="I73" s="279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</row>
    <row r="74" spans="6:49" s="246" customFormat="1" ht="15.75"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</row>
    <row r="75" spans="1:49" s="246" customFormat="1" ht="69" customHeight="1">
      <c r="A75" s="554" t="s">
        <v>611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</row>
    <row r="76" s="246" customFormat="1" ht="15.75"/>
    <row r="77" spans="1:11" ht="15.75" customHeight="1">
      <c r="A77" s="547" t="s">
        <v>612</v>
      </c>
      <c r="B77" s="547"/>
      <c r="C77" s="547"/>
      <c r="D77" s="547"/>
      <c r="E77" s="547"/>
      <c r="F77" s="547"/>
      <c r="G77" s="547"/>
      <c r="H77" s="547"/>
      <c r="I77" s="547"/>
      <c r="J77" s="547"/>
      <c r="K77" s="547"/>
    </row>
    <row r="78" spans="1:11" ht="15.75" customHeight="1">
      <c r="A78" s="245"/>
      <c r="B78" s="245"/>
      <c r="C78" s="245"/>
      <c r="D78" s="245"/>
      <c r="E78" s="245"/>
      <c r="F78" s="245"/>
      <c r="G78" s="245"/>
      <c r="H78" s="245"/>
      <c r="I78" s="245"/>
      <c r="J78" s="245"/>
      <c r="K78" s="245"/>
    </row>
    <row r="79" spans="2:31" ht="15.75" customHeight="1">
      <c r="B79" s="187" t="s">
        <v>723</v>
      </c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</row>
    <row r="80" spans="2:31" ht="15.75" customHeight="1">
      <c r="B80" s="187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</row>
    <row r="81" spans="2:31" ht="15.75" customHeight="1">
      <c r="B81" s="187" t="s">
        <v>717</v>
      </c>
      <c r="D81" s="194" t="s">
        <v>718</v>
      </c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</row>
    <row r="82" spans="1:4" ht="15.75" customHeight="1">
      <c r="A82" s="195"/>
      <c r="B82" s="195"/>
      <c r="C82" s="195"/>
      <c r="D82" s="195"/>
    </row>
    <row r="83" spans="1:8" ht="33.75" customHeight="1">
      <c r="A83" s="535" t="s">
        <v>547</v>
      </c>
      <c r="B83" s="533" t="s">
        <v>614</v>
      </c>
      <c r="C83" s="533"/>
      <c r="D83" s="525" t="s">
        <v>615</v>
      </c>
      <c r="E83" s="525" t="s">
        <v>616</v>
      </c>
      <c r="F83" s="605" t="s">
        <v>581</v>
      </c>
      <c r="G83" s="606"/>
      <c r="H83" s="362"/>
    </row>
    <row r="84" spans="1:8" ht="69" customHeight="1">
      <c r="A84" s="536"/>
      <c r="B84" s="533"/>
      <c r="C84" s="533"/>
      <c r="D84" s="526"/>
      <c r="E84" s="526"/>
      <c r="F84" s="228" t="s">
        <v>724</v>
      </c>
      <c r="G84" s="228" t="s">
        <v>725</v>
      </c>
      <c r="H84" s="356"/>
    </row>
    <row r="85" spans="1:8" ht="15.75">
      <c r="A85" s="260">
        <v>1</v>
      </c>
      <c r="B85" s="558">
        <v>2</v>
      </c>
      <c r="C85" s="558"/>
      <c r="D85" s="260">
        <v>3</v>
      </c>
      <c r="E85" s="260">
        <v>4</v>
      </c>
      <c r="F85" s="260">
        <v>5</v>
      </c>
      <c r="G85" s="260">
        <v>6</v>
      </c>
      <c r="H85" s="363"/>
    </row>
    <row r="86" spans="1:8" ht="15.75">
      <c r="A86" s="201">
        <v>1</v>
      </c>
      <c r="B86" s="559" t="s">
        <v>618</v>
      </c>
      <c r="C86" s="559"/>
      <c r="D86" s="262">
        <v>195145.33</v>
      </c>
      <c r="E86" s="262">
        <v>1.5</v>
      </c>
      <c r="F86" s="233"/>
      <c r="G86" s="364">
        <f>ROUND(D86*E86,0.2)</f>
        <v>292718</v>
      </c>
      <c r="H86" s="365"/>
    </row>
    <row r="87" spans="1:8" ht="15.75">
      <c r="A87" s="201">
        <v>2</v>
      </c>
      <c r="B87" s="559" t="s">
        <v>619</v>
      </c>
      <c r="C87" s="559"/>
      <c r="D87" s="264"/>
      <c r="E87" s="264"/>
      <c r="F87" s="358"/>
      <c r="G87" s="358"/>
      <c r="H87" s="279"/>
    </row>
    <row r="88" spans="1:8" ht="33.75" customHeight="1">
      <c r="A88" s="201">
        <v>3</v>
      </c>
      <c r="B88" s="560" t="s">
        <v>620</v>
      </c>
      <c r="C88" s="560"/>
      <c r="D88" s="207"/>
      <c r="E88" s="207"/>
      <c r="F88" s="359"/>
      <c r="G88" s="358"/>
      <c r="H88" s="279"/>
    </row>
    <row r="89" spans="1:8" ht="15.75">
      <c r="A89" s="201">
        <v>4</v>
      </c>
      <c r="B89" s="559" t="s">
        <v>726</v>
      </c>
      <c r="C89" s="559"/>
      <c r="D89" s="207"/>
      <c r="E89" s="265"/>
      <c r="F89" s="359"/>
      <c r="G89" s="358">
        <v>3000</v>
      </c>
      <c r="H89" s="279"/>
    </row>
    <row r="90" spans="1:8" ht="15.75">
      <c r="A90" s="201">
        <v>5</v>
      </c>
      <c r="B90" s="607" t="s">
        <v>727</v>
      </c>
      <c r="C90" s="608"/>
      <c r="D90" s="207"/>
      <c r="E90" s="265"/>
      <c r="F90" s="359"/>
      <c r="G90" s="358">
        <f>20000+8000</f>
        <v>28000</v>
      </c>
      <c r="H90" s="279"/>
    </row>
    <row r="91" spans="1:8" ht="15.75">
      <c r="A91" s="201"/>
      <c r="B91" s="559"/>
      <c r="C91" s="559"/>
      <c r="D91" s="207"/>
      <c r="E91" s="265"/>
      <c r="F91" s="359"/>
      <c r="G91" s="358"/>
      <c r="H91" s="279"/>
    </row>
    <row r="92" spans="1:8" ht="15.75">
      <c r="A92" s="561" t="s">
        <v>563</v>
      </c>
      <c r="B92" s="562"/>
      <c r="C92" s="563"/>
      <c r="D92" s="276"/>
      <c r="E92" s="267" t="s">
        <v>564</v>
      </c>
      <c r="F92" s="359"/>
      <c r="G92" s="366">
        <f>SUM(G86:G91)</f>
        <v>323718</v>
      </c>
      <c r="H92" s="279"/>
    </row>
    <row r="93" spans="1:7" ht="15.75">
      <c r="A93" s="193"/>
      <c r="B93" s="193"/>
      <c r="C93" s="193"/>
      <c r="D93" s="193"/>
      <c r="E93" s="193"/>
      <c r="F93" s="193"/>
      <c r="G93" s="193"/>
    </row>
    <row r="94" spans="1:11" ht="49.5" customHeight="1">
      <c r="A94" s="564" t="s">
        <v>621</v>
      </c>
      <c r="B94" s="564"/>
      <c r="C94" s="564"/>
      <c r="D94" s="564"/>
      <c r="E94" s="564"/>
      <c r="F94" s="564"/>
      <c r="G94" s="564"/>
      <c r="H94" s="564"/>
      <c r="I94" s="564"/>
      <c r="J94" s="564"/>
      <c r="K94" s="564"/>
    </row>
    <row r="95" spans="1:7" ht="15.75">
      <c r="A95" s="193"/>
      <c r="B95" s="193"/>
      <c r="C95" s="193"/>
      <c r="D95" s="193"/>
      <c r="E95" s="193"/>
      <c r="F95" s="193"/>
      <c r="G95" s="193"/>
    </row>
    <row r="96" spans="1:11" ht="15.75">
      <c r="A96" s="565" t="s">
        <v>622</v>
      </c>
      <c r="B96" s="565"/>
      <c r="C96" s="565"/>
      <c r="D96" s="565"/>
      <c r="E96" s="565"/>
      <c r="F96" s="565"/>
      <c r="G96" s="565"/>
      <c r="H96" s="565"/>
      <c r="I96" s="565"/>
      <c r="J96" s="565"/>
      <c r="K96" s="565"/>
    </row>
    <row r="97" spans="1:7" ht="17.25" customHeight="1">
      <c r="A97" s="566" t="s">
        <v>623</v>
      </c>
      <c r="B97" s="566"/>
      <c r="C97" s="566"/>
      <c r="D97" s="566"/>
      <c r="E97" s="566"/>
      <c r="F97" s="193"/>
      <c r="G97" s="193"/>
    </row>
    <row r="98" spans="2:31" ht="15.75" customHeight="1">
      <c r="B98" s="187" t="s">
        <v>716</v>
      </c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</row>
    <row r="99" spans="2:31" ht="15.75" customHeight="1">
      <c r="B99" s="187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</row>
    <row r="100" spans="2:31" ht="15.75" customHeight="1">
      <c r="B100" s="187" t="s">
        <v>717</v>
      </c>
      <c r="D100" s="187" t="s">
        <v>718</v>
      </c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</row>
    <row r="101" spans="1:7" ht="17.25" customHeight="1">
      <c r="A101" s="269"/>
      <c r="B101" s="269"/>
      <c r="C101" s="269"/>
      <c r="D101" s="269"/>
      <c r="E101" s="269"/>
      <c r="F101" s="193"/>
      <c r="G101" s="193"/>
    </row>
    <row r="102" spans="1:8" ht="60.75" customHeight="1">
      <c r="A102" s="535" t="s">
        <v>547</v>
      </c>
      <c r="B102" s="567" t="s">
        <v>1</v>
      </c>
      <c r="C102" s="567" t="s">
        <v>607</v>
      </c>
      <c r="D102" s="567" t="s">
        <v>608</v>
      </c>
      <c r="E102" s="237" t="s">
        <v>728</v>
      </c>
      <c r="F102" s="238"/>
      <c r="G102" s="238"/>
      <c r="H102" s="258"/>
    </row>
    <row r="103" spans="1:50" ht="46.5" customHeight="1">
      <c r="A103" s="536"/>
      <c r="B103" s="567"/>
      <c r="C103" s="567"/>
      <c r="D103" s="567"/>
      <c r="E103" s="271" t="s">
        <v>729</v>
      </c>
      <c r="F103" s="367"/>
      <c r="G103" s="367"/>
      <c r="H103" s="273"/>
      <c r="I103" s="274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193"/>
    </row>
    <row r="104" spans="1:50" ht="14.25" customHeight="1">
      <c r="A104" s="230">
        <v>1</v>
      </c>
      <c r="B104" s="275">
        <v>2</v>
      </c>
      <c r="C104" s="275">
        <v>3</v>
      </c>
      <c r="D104" s="275">
        <v>4</v>
      </c>
      <c r="E104" s="275">
        <v>5</v>
      </c>
      <c r="F104" s="232"/>
      <c r="G104" s="232"/>
      <c r="H104" s="232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193"/>
    </row>
    <row r="105" spans="1:50" ht="15.75">
      <c r="A105" s="201"/>
      <c r="B105" s="271"/>
      <c r="C105" s="276"/>
      <c r="D105" s="276"/>
      <c r="E105" s="266"/>
      <c r="F105" s="277"/>
      <c r="G105" s="277"/>
      <c r="H105" s="277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193"/>
    </row>
    <row r="106" spans="1:50" ht="15.75">
      <c r="A106" s="201"/>
      <c r="B106" s="271"/>
      <c r="C106" s="276"/>
      <c r="D106" s="276"/>
      <c r="E106" s="266"/>
      <c r="F106" s="277"/>
      <c r="G106" s="277"/>
      <c r="H106" s="277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193"/>
    </row>
    <row r="107" spans="1:50" ht="15.75">
      <c r="A107" s="561" t="s">
        <v>563</v>
      </c>
      <c r="B107" s="563"/>
      <c r="C107" s="276" t="s">
        <v>564</v>
      </c>
      <c r="D107" s="276" t="s">
        <v>564</v>
      </c>
      <c r="E107" s="266">
        <f>SUM(E105:E106)</f>
        <v>0</v>
      </c>
      <c r="F107" s="277"/>
      <c r="G107" s="277"/>
      <c r="H107" s="277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7"/>
      <c r="AW107" s="257"/>
      <c r="AX107" s="193"/>
    </row>
    <row r="108" spans="1:50" ht="15.75">
      <c r="A108" s="278"/>
      <c r="B108" s="278"/>
      <c r="C108" s="277"/>
      <c r="D108" s="277"/>
      <c r="E108" s="277"/>
      <c r="F108" s="277"/>
      <c r="G108" s="277"/>
      <c r="H108" s="277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/>
      <c r="AJ108" s="257"/>
      <c r="AK108" s="257"/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7"/>
      <c r="AW108" s="257"/>
      <c r="AX108" s="193"/>
    </row>
    <row r="109" spans="1:50" ht="36" customHeight="1">
      <c r="A109" s="571" t="s">
        <v>625</v>
      </c>
      <c r="B109" s="571"/>
      <c r="C109" s="571"/>
      <c r="D109" s="571"/>
      <c r="E109" s="571"/>
      <c r="F109" s="571"/>
      <c r="G109" s="571"/>
      <c r="H109" s="571"/>
      <c r="I109" s="571"/>
      <c r="J109" s="571"/>
      <c r="K109" s="571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57"/>
      <c r="AM109" s="257"/>
      <c r="AN109" s="257"/>
      <c r="AO109" s="257"/>
      <c r="AP109" s="257"/>
      <c r="AQ109" s="257"/>
      <c r="AR109" s="257"/>
      <c r="AS109" s="257"/>
      <c r="AT109" s="257"/>
      <c r="AU109" s="257"/>
      <c r="AV109" s="257"/>
      <c r="AW109" s="257"/>
      <c r="AX109" s="193"/>
    </row>
    <row r="110" spans="2:11" ht="15.75">
      <c r="B110" s="187"/>
      <c r="I110" s="193"/>
      <c r="J110" s="279"/>
      <c r="K110" s="279"/>
    </row>
    <row r="111" spans="1:12" ht="15.75" customHeight="1">
      <c r="A111" s="572" t="s">
        <v>626</v>
      </c>
      <c r="B111" s="572"/>
      <c r="C111" s="572"/>
      <c r="D111" s="572"/>
      <c r="E111" s="572"/>
      <c r="F111" s="572"/>
      <c r="G111" s="572"/>
      <c r="H111" s="572"/>
      <c r="I111" s="572"/>
      <c r="J111" s="572"/>
      <c r="K111" s="572"/>
      <c r="L111" s="281"/>
    </row>
    <row r="112" spans="1:12" ht="15.75" customHeight="1">
      <c r="A112" s="280"/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1"/>
    </row>
    <row r="113" spans="2:31" ht="15.75" customHeight="1">
      <c r="B113" s="187" t="s">
        <v>716</v>
      </c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</row>
    <row r="114" spans="2:31" ht="15.75" customHeight="1">
      <c r="B114" s="187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</row>
    <row r="115" spans="2:31" ht="15.75" customHeight="1">
      <c r="B115" s="187" t="s">
        <v>717</v>
      </c>
      <c r="D115" s="187" t="s">
        <v>718</v>
      </c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</row>
    <row r="116" spans="1:12" ht="15.75" customHeight="1">
      <c r="A116" s="225"/>
      <c r="B116" s="225"/>
      <c r="C116" s="225"/>
      <c r="D116" s="225"/>
      <c r="E116" s="225"/>
      <c r="F116" s="225"/>
      <c r="G116" s="281"/>
      <c r="H116" s="281"/>
      <c r="I116" s="281"/>
      <c r="J116" s="281"/>
      <c r="K116" s="281"/>
      <c r="L116" s="281"/>
    </row>
    <row r="117" spans="1:8" ht="57.75" customHeight="1">
      <c r="A117" s="535" t="s">
        <v>547</v>
      </c>
      <c r="B117" s="567" t="s">
        <v>1</v>
      </c>
      <c r="C117" s="567" t="s">
        <v>607</v>
      </c>
      <c r="D117" s="567" t="s">
        <v>608</v>
      </c>
      <c r="E117" s="237" t="s">
        <v>730</v>
      </c>
      <c r="F117" s="238"/>
      <c r="G117" s="238"/>
      <c r="H117" s="258"/>
    </row>
    <row r="118" spans="1:50" ht="44.25" customHeight="1">
      <c r="A118" s="536"/>
      <c r="B118" s="567"/>
      <c r="C118" s="567"/>
      <c r="D118" s="567"/>
      <c r="E118" s="271" t="s">
        <v>731</v>
      </c>
      <c r="F118" s="367"/>
      <c r="G118" s="367"/>
      <c r="H118" s="273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193"/>
    </row>
    <row r="119" spans="1:50" ht="12" customHeight="1">
      <c r="A119" s="282">
        <v>1</v>
      </c>
      <c r="B119" s="283">
        <v>2</v>
      </c>
      <c r="C119" s="283">
        <v>3</v>
      </c>
      <c r="D119" s="283">
        <v>4</v>
      </c>
      <c r="E119" s="275">
        <v>5</v>
      </c>
      <c r="F119" s="232"/>
      <c r="G119" s="232"/>
      <c r="H119" s="232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193"/>
    </row>
    <row r="120" spans="1:50" ht="15.75">
      <c r="A120" s="201"/>
      <c r="B120" s="197"/>
      <c r="C120" s="203"/>
      <c r="D120" s="203"/>
      <c r="E120" s="266"/>
      <c r="F120" s="277"/>
      <c r="G120" s="368"/>
      <c r="H120" s="277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248"/>
      <c r="AX120" s="193"/>
    </row>
    <row r="121" spans="1:50" ht="15.75">
      <c r="A121" s="201"/>
      <c r="B121" s="197"/>
      <c r="C121" s="203"/>
      <c r="D121" s="203"/>
      <c r="E121" s="266"/>
      <c r="F121" s="277"/>
      <c r="G121" s="368"/>
      <c r="H121" s="277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248"/>
      <c r="AO121" s="248"/>
      <c r="AP121" s="248"/>
      <c r="AQ121" s="248"/>
      <c r="AR121" s="248"/>
      <c r="AS121" s="248"/>
      <c r="AT121" s="248"/>
      <c r="AU121" s="248"/>
      <c r="AV121" s="248"/>
      <c r="AW121" s="248"/>
      <c r="AX121" s="193"/>
    </row>
    <row r="122" spans="1:50" ht="15.75">
      <c r="A122" s="561" t="s">
        <v>563</v>
      </c>
      <c r="B122" s="563"/>
      <c r="C122" s="203" t="s">
        <v>564</v>
      </c>
      <c r="D122" s="203" t="s">
        <v>564</v>
      </c>
      <c r="E122" s="266">
        <f>SUM(E120:E121)</f>
        <v>0</v>
      </c>
      <c r="F122" s="277"/>
      <c r="G122" s="368"/>
      <c r="H122" s="277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7"/>
      <c r="AR122" s="257"/>
      <c r="AS122" s="257"/>
      <c r="AT122" s="257"/>
      <c r="AU122" s="257"/>
      <c r="AV122" s="257"/>
      <c r="AW122" s="257"/>
      <c r="AX122" s="193"/>
    </row>
    <row r="123" spans="1:50" ht="15.75">
      <c r="A123" s="238"/>
      <c r="B123" s="193"/>
      <c r="C123" s="238"/>
      <c r="D123" s="238"/>
      <c r="E123" s="238"/>
      <c r="F123" s="238"/>
      <c r="G123" s="193"/>
      <c r="H123" s="279"/>
      <c r="I123" s="279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</row>
    <row r="124" spans="1:50" ht="39" customHeight="1">
      <c r="A124" s="564" t="s">
        <v>627</v>
      </c>
      <c r="B124" s="564"/>
      <c r="C124" s="564"/>
      <c r="D124" s="564"/>
      <c r="E124" s="564"/>
      <c r="F124" s="564"/>
      <c r="G124" s="564"/>
      <c r="H124" s="564"/>
      <c r="I124" s="564"/>
      <c r="J124" s="564"/>
      <c r="K124" s="564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</row>
    <row r="125" spans="1:50" ht="15.75">
      <c r="A125" s="238"/>
      <c r="B125" s="193"/>
      <c r="C125" s="238"/>
      <c r="D125" s="238"/>
      <c r="E125" s="238"/>
      <c r="F125" s="238"/>
      <c r="G125" s="193"/>
      <c r="H125" s="279"/>
      <c r="I125" s="279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</row>
    <row r="126" spans="1:11" ht="15.75">
      <c r="A126" s="565" t="s">
        <v>628</v>
      </c>
      <c r="B126" s="565"/>
      <c r="C126" s="565"/>
      <c r="D126" s="565"/>
      <c r="E126" s="565"/>
      <c r="F126" s="565"/>
      <c r="G126" s="565"/>
      <c r="H126" s="565"/>
      <c r="I126" s="565"/>
      <c r="J126" s="565"/>
      <c r="K126" s="565"/>
    </row>
    <row r="127" spans="1:10" ht="15.75">
      <c r="A127" s="238"/>
      <c r="B127" s="193"/>
      <c r="C127" s="238"/>
      <c r="D127" s="238"/>
      <c r="E127" s="238"/>
      <c r="F127" s="238"/>
      <c r="G127" s="193"/>
      <c r="H127" s="279"/>
      <c r="I127" s="279"/>
      <c r="J127" s="193"/>
    </row>
    <row r="128" spans="2:31" ht="15.75" customHeight="1">
      <c r="B128" s="187" t="s">
        <v>629</v>
      </c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</row>
    <row r="129" spans="2:31" ht="15.75" customHeight="1">
      <c r="B129" s="187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</row>
    <row r="130" spans="2:31" ht="15.75" customHeight="1">
      <c r="B130" s="187" t="s">
        <v>717</v>
      </c>
      <c r="D130" s="194" t="s">
        <v>718</v>
      </c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</row>
    <row r="131" spans="1:10" ht="15.75">
      <c r="A131" s="238"/>
      <c r="B131" s="193"/>
      <c r="C131" s="238"/>
      <c r="D131" s="238"/>
      <c r="E131" s="238"/>
      <c r="F131" s="238"/>
      <c r="G131" s="193"/>
      <c r="H131" s="279"/>
      <c r="I131" s="279"/>
      <c r="J131" s="193"/>
    </row>
    <row r="132" spans="1:10" ht="15.75">
      <c r="A132" s="238"/>
      <c r="B132" s="224" t="s">
        <v>630</v>
      </c>
      <c r="C132" s="238"/>
      <c r="D132" s="238"/>
      <c r="E132" s="238"/>
      <c r="F132" s="238"/>
      <c r="G132" s="193"/>
      <c r="H132" s="279"/>
      <c r="I132" s="279"/>
      <c r="J132" s="193"/>
    </row>
    <row r="133" spans="1:10" ht="15.75">
      <c r="A133" s="284"/>
      <c r="B133" s="284"/>
      <c r="C133" s="284"/>
      <c r="D133" s="284"/>
      <c r="E133" s="238"/>
      <c r="F133" s="238"/>
      <c r="G133" s="193"/>
      <c r="H133" s="279"/>
      <c r="I133" s="279"/>
      <c r="J133" s="193"/>
    </row>
    <row r="134" spans="1:36" ht="41.25" customHeight="1">
      <c r="A134" s="535" t="s">
        <v>547</v>
      </c>
      <c r="B134" s="567" t="s">
        <v>568</v>
      </c>
      <c r="C134" s="567" t="s">
        <v>631</v>
      </c>
      <c r="D134" s="567" t="s">
        <v>632</v>
      </c>
      <c r="E134" s="567" t="s">
        <v>633</v>
      </c>
      <c r="F134" s="237" t="s">
        <v>732</v>
      </c>
      <c r="G134" s="238"/>
      <c r="H134" s="238"/>
      <c r="I134" s="258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</row>
    <row r="135" spans="1:36" ht="49.5" customHeight="1">
      <c r="A135" s="536"/>
      <c r="B135" s="567"/>
      <c r="C135" s="567"/>
      <c r="D135" s="567"/>
      <c r="E135" s="567"/>
      <c r="F135" s="247" t="s">
        <v>733</v>
      </c>
      <c r="G135" s="356"/>
      <c r="H135" s="356"/>
      <c r="I135" s="273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193"/>
    </row>
    <row r="136" spans="1:36" ht="15.75">
      <c r="A136" s="202">
        <v>1</v>
      </c>
      <c r="B136" s="202">
        <v>2</v>
      </c>
      <c r="C136" s="202">
        <v>3</v>
      </c>
      <c r="D136" s="202">
        <v>4</v>
      </c>
      <c r="E136" s="202">
        <v>5</v>
      </c>
      <c r="F136" s="202">
        <v>6</v>
      </c>
      <c r="G136" s="369"/>
      <c r="H136" s="232"/>
      <c r="I136" s="232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86"/>
      <c r="W136" s="286"/>
      <c r="X136" s="286"/>
      <c r="Y136" s="286"/>
      <c r="Z136" s="286"/>
      <c r="AA136" s="286"/>
      <c r="AB136" s="286"/>
      <c r="AC136" s="286"/>
      <c r="AD136" s="286"/>
      <c r="AE136" s="286"/>
      <c r="AF136" s="286"/>
      <c r="AG136" s="286"/>
      <c r="AH136" s="286"/>
      <c r="AI136" s="286"/>
      <c r="AJ136" s="193"/>
    </row>
    <row r="137" spans="1:36" ht="39">
      <c r="A137" s="239" t="s">
        <v>610</v>
      </c>
      <c r="B137" s="287" t="s">
        <v>635</v>
      </c>
      <c r="C137" s="288">
        <v>1</v>
      </c>
      <c r="D137" s="289">
        <v>1</v>
      </c>
      <c r="E137" s="290">
        <v>3500</v>
      </c>
      <c r="F137" s="370">
        <f>D137*E137*C137</f>
        <v>3500</v>
      </c>
      <c r="G137" s="371"/>
      <c r="H137" s="372"/>
      <c r="I137" s="277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  <c r="AJ137" s="193"/>
    </row>
    <row r="138" spans="1:36" ht="15.75">
      <c r="A138" s="239"/>
      <c r="B138" s="198"/>
      <c r="C138" s="216"/>
      <c r="D138" s="216"/>
      <c r="E138" s="216"/>
      <c r="F138" s="373"/>
      <c r="G138" s="374"/>
      <c r="H138" s="277"/>
      <c r="I138" s="277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  <c r="AJ138" s="193"/>
    </row>
    <row r="139" spans="1:36" ht="15.75">
      <c r="A139" s="599" t="s">
        <v>637</v>
      </c>
      <c r="B139" s="601"/>
      <c r="C139" s="375" t="s">
        <v>564</v>
      </c>
      <c r="D139" s="375" t="s">
        <v>564</v>
      </c>
      <c r="E139" s="375" t="s">
        <v>564</v>
      </c>
      <c r="F139" s="376">
        <f>SUM(F137:F138)</f>
        <v>3500</v>
      </c>
      <c r="G139" s="374"/>
      <c r="H139" s="277"/>
      <c r="I139" s="277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  <c r="AJ139" s="193"/>
    </row>
    <row r="140" spans="1:10" ht="15.75">
      <c r="A140" s="238"/>
      <c r="B140" s="193"/>
      <c r="C140" s="238"/>
      <c r="D140" s="238"/>
      <c r="E140" s="238"/>
      <c r="F140" s="238"/>
      <c r="G140" s="193"/>
      <c r="H140" s="279"/>
      <c r="I140" s="279"/>
      <c r="J140" s="193"/>
    </row>
    <row r="141" spans="1:11" ht="151.5" customHeight="1">
      <c r="A141" s="564" t="s">
        <v>638</v>
      </c>
      <c r="B141" s="564"/>
      <c r="C141" s="564"/>
      <c r="D141" s="564"/>
      <c r="E141" s="564"/>
      <c r="F141" s="564"/>
      <c r="G141" s="564"/>
      <c r="H141" s="564"/>
      <c r="I141" s="564"/>
      <c r="J141" s="564"/>
      <c r="K141" s="564"/>
    </row>
    <row r="142" spans="1:10" ht="15.75">
      <c r="A142" s="238"/>
      <c r="B142" s="193"/>
      <c r="C142" s="238"/>
      <c r="D142" s="238"/>
      <c r="E142" s="238"/>
      <c r="F142" s="238"/>
      <c r="G142" s="193"/>
      <c r="H142" s="279"/>
      <c r="I142" s="279"/>
      <c r="J142" s="193"/>
    </row>
    <row r="143" spans="1:10" ht="15.75">
      <c r="A143" s="284"/>
      <c r="B143" s="284" t="s">
        <v>639</v>
      </c>
      <c r="C143" s="284"/>
      <c r="D143" s="284"/>
      <c r="E143" s="284"/>
      <c r="F143" s="238"/>
      <c r="G143" s="193"/>
      <c r="H143" s="279"/>
      <c r="I143" s="279"/>
      <c r="J143" s="193"/>
    </row>
    <row r="144" spans="1:10" ht="15.75">
      <c r="A144" s="238"/>
      <c r="B144" s="193"/>
      <c r="C144" s="238"/>
      <c r="D144" s="238"/>
      <c r="E144" s="238"/>
      <c r="F144" s="238"/>
      <c r="G144" s="193"/>
      <c r="H144" s="279"/>
      <c r="I144" s="279"/>
      <c r="J144" s="193"/>
    </row>
    <row r="145" spans="1:10" ht="41.25" customHeight="1">
      <c r="A145" s="535" t="s">
        <v>547</v>
      </c>
      <c r="B145" s="567" t="s">
        <v>568</v>
      </c>
      <c r="C145" s="567" t="s">
        <v>640</v>
      </c>
      <c r="D145" s="567" t="s">
        <v>641</v>
      </c>
      <c r="E145" s="237" t="s">
        <v>734</v>
      </c>
      <c r="F145" s="238"/>
      <c r="G145" s="238"/>
      <c r="H145" s="258"/>
      <c r="I145" s="279"/>
      <c r="J145" s="193"/>
    </row>
    <row r="146" spans="1:10" ht="31.5">
      <c r="A146" s="536"/>
      <c r="B146" s="567"/>
      <c r="C146" s="567"/>
      <c r="D146" s="567"/>
      <c r="E146" s="271" t="s">
        <v>735</v>
      </c>
      <c r="F146" s="367"/>
      <c r="G146" s="367"/>
      <c r="H146" s="273"/>
      <c r="I146" s="279"/>
      <c r="J146" s="193"/>
    </row>
    <row r="147" spans="1:10" ht="15.75">
      <c r="A147" s="282">
        <v>1</v>
      </c>
      <c r="B147" s="283">
        <v>2</v>
      </c>
      <c r="C147" s="283">
        <v>3</v>
      </c>
      <c r="D147" s="283">
        <v>4</v>
      </c>
      <c r="E147" s="275">
        <v>5</v>
      </c>
      <c r="F147" s="232"/>
      <c r="G147" s="232"/>
      <c r="H147" s="232"/>
      <c r="I147" s="279"/>
      <c r="J147" s="193"/>
    </row>
    <row r="148" spans="1:10" ht="26.25">
      <c r="A148" s="201">
        <v>1</v>
      </c>
      <c r="B148" s="197" t="s">
        <v>736</v>
      </c>
      <c r="C148" s="203">
        <v>1</v>
      </c>
      <c r="D148" s="203">
        <v>11000</v>
      </c>
      <c r="E148" s="266">
        <f>C148*D148</f>
        <v>11000</v>
      </c>
      <c r="F148" s="277"/>
      <c r="G148" s="277"/>
      <c r="H148" s="277"/>
      <c r="I148" s="279"/>
      <c r="J148" s="193"/>
    </row>
    <row r="149" spans="1:10" ht="15.75">
      <c r="A149" s="201"/>
      <c r="B149" s="197"/>
      <c r="C149" s="203"/>
      <c r="D149" s="203"/>
      <c r="E149" s="266"/>
      <c r="F149" s="277"/>
      <c r="G149" s="277"/>
      <c r="H149" s="277"/>
      <c r="I149" s="279"/>
      <c r="J149" s="193"/>
    </row>
    <row r="150" spans="1:10" ht="15.75">
      <c r="A150" s="576" t="s">
        <v>563</v>
      </c>
      <c r="B150" s="577"/>
      <c r="C150" s="307" t="s">
        <v>564</v>
      </c>
      <c r="D150" s="307" t="s">
        <v>564</v>
      </c>
      <c r="E150" s="377">
        <f>SUM(E148:E149)</f>
        <v>11000</v>
      </c>
      <c r="F150" s="277"/>
      <c r="G150" s="277"/>
      <c r="H150" s="277"/>
      <c r="I150" s="279"/>
      <c r="J150" s="193"/>
    </row>
    <row r="151" spans="1:10" ht="15.75">
      <c r="A151" s="238"/>
      <c r="B151" s="193"/>
      <c r="C151" s="238"/>
      <c r="D151" s="238"/>
      <c r="E151" s="238"/>
      <c r="F151" s="238"/>
      <c r="G151" s="193"/>
      <c r="H151" s="279"/>
      <c r="I151" s="279"/>
      <c r="J151" s="193"/>
    </row>
    <row r="152" spans="1:11" ht="36" customHeight="1">
      <c r="A152" s="575" t="s">
        <v>643</v>
      </c>
      <c r="B152" s="575"/>
      <c r="C152" s="575"/>
      <c r="D152" s="575"/>
      <c r="E152" s="575"/>
      <c r="F152" s="575"/>
      <c r="G152" s="575"/>
      <c r="H152" s="575"/>
      <c r="I152" s="575"/>
      <c r="J152" s="575"/>
      <c r="K152" s="575"/>
    </row>
    <row r="153" spans="1:10" ht="15.75">
      <c r="A153" s="238"/>
      <c r="B153" s="193"/>
      <c r="C153" s="238"/>
      <c r="D153" s="238"/>
      <c r="E153" s="238"/>
      <c r="F153" s="238"/>
      <c r="G153" s="193"/>
      <c r="H153" s="279"/>
      <c r="I153" s="279"/>
      <c r="J153" s="193"/>
    </row>
    <row r="154" spans="1:10" ht="15.75">
      <c r="A154" s="284"/>
      <c r="B154" s="284" t="s">
        <v>644</v>
      </c>
      <c r="C154" s="284"/>
      <c r="D154" s="284"/>
      <c r="E154" s="284"/>
      <c r="F154" s="284"/>
      <c r="G154" s="193"/>
      <c r="H154" s="279"/>
      <c r="I154" s="279"/>
      <c r="J154" s="193"/>
    </row>
    <row r="155" spans="1:10" ht="15.75">
      <c r="A155" s="238"/>
      <c r="B155" s="193"/>
      <c r="C155" s="238"/>
      <c r="D155" s="238"/>
      <c r="E155" s="238"/>
      <c r="F155" s="238"/>
      <c r="G155" s="193"/>
      <c r="H155" s="279"/>
      <c r="I155" s="279"/>
      <c r="J155" s="193"/>
    </row>
    <row r="156" spans="1:10" ht="45" customHeight="1">
      <c r="A156" s="535" t="s">
        <v>547</v>
      </c>
      <c r="B156" s="567" t="s">
        <v>1</v>
      </c>
      <c r="C156" s="567" t="s">
        <v>645</v>
      </c>
      <c r="D156" s="567" t="s">
        <v>646</v>
      </c>
      <c r="E156" s="567" t="s">
        <v>647</v>
      </c>
      <c r="F156" s="237" t="s">
        <v>732</v>
      </c>
      <c r="G156" s="238"/>
      <c r="H156" s="238"/>
      <c r="I156" s="258"/>
      <c r="J156" s="193"/>
    </row>
    <row r="157" spans="1:10" ht="31.5">
      <c r="A157" s="536"/>
      <c r="B157" s="567"/>
      <c r="C157" s="567"/>
      <c r="D157" s="567"/>
      <c r="E157" s="567"/>
      <c r="F157" s="270" t="s">
        <v>735</v>
      </c>
      <c r="G157" s="367"/>
      <c r="H157" s="367"/>
      <c r="I157" s="273"/>
      <c r="J157" s="193"/>
    </row>
    <row r="158" spans="1:10" ht="15.75">
      <c r="A158" s="202">
        <v>1</v>
      </c>
      <c r="B158" s="202">
        <v>2</v>
      </c>
      <c r="C158" s="202">
        <v>3</v>
      </c>
      <c r="D158" s="202">
        <v>4</v>
      </c>
      <c r="E158" s="202">
        <v>5</v>
      </c>
      <c r="F158" s="205">
        <v>6</v>
      </c>
      <c r="G158" s="232"/>
      <c r="H158" s="232"/>
      <c r="I158" s="232"/>
      <c r="J158" s="193"/>
    </row>
    <row r="159" spans="1:10" ht="15.75">
      <c r="A159" s="296" t="s">
        <v>610</v>
      </c>
      <c r="B159" s="297" t="s">
        <v>648</v>
      </c>
      <c r="C159" s="298">
        <v>58.47069</v>
      </c>
      <c r="D159" s="298">
        <v>1860.27</v>
      </c>
      <c r="E159" s="298">
        <v>0</v>
      </c>
      <c r="F159" s="299">
        <f>ROUND(C159*D159,2)</f>
        <v>108771.27</v>
      </c>
      <c r="G159" s="378"/>
      <c r="H159" s="368"/>
      <c r="I159" s="277"/>
      <c r="J159" s="193"/>
    </row>
    <row r="160" spans="1:10" ht="15.75">
      <c r="A160" s="296" t="s">
        <v>590</v>
      </c>
      <c r="B160" s="300" t="s">
        <v>649</v>
      </c>
      <c r="C160" s="301">
        <f>22684</f>
        <v>22684</v>
      </c>
      <c r="D160" s="301">
        <v>6.32</v>
      </c>
      <c r="E160" s="298">
        <v>0</v>
      </c>
      <c r="F160" s="299">
        <f>ROUND(C160*D160,2)</f>
        <v>143362.88</v>
      </c>
      <c r="G160" s="368"/>
      <c r="H160" s="368"/>
      <c r="I160" s="277"/>
      <c r="J160" s="193"/>
    </row>
    <row r="161" spans="1:10" ht="31.5">
      <c r="A161" s="296" t="s">
        <v>601</v>
      </c>
      <c r="B161" s="300" t="s">
        <v>650</v>
      </c>
      <c r="C161" s="301">
        <v>1038</v>
      </c>
      <c r="D161" s="301">
        <v>40.98</v>
      </c>
      <c r="E161" s="298">
        <v>0</v>
      </c>
      <c r="F161" s="299">
        <f>ROUND(C161*D161,2)</f>
        <v>42537.24</v>
      </c>
      <c r="G161" s="368"/>
      <c r="H161" s="368"/>
      <c r="I161" s="277"/>
      <c r="J161" s="193"/>
    </row>
    <row r="162" spans="1:10" s="403" customFormat="1" ht="18.75">
      <c r="A162" s="609" t="s">
        <v>637</v>
      </c>
      <c r="B162" s="610"/>
      <c r="C162" s="399" t="s">
        <v>564</v>
      </c>
      <c r="D162" s="399" t="s">
        <v>564</v>
      </c>
      <c r="E162" s="399" t="s">
        <v>564</v>
      </c>
      <c r="F162" s="400">
        <f>SUM(F159:F161)</f>
        <v>294671.39</v>
      </c>
      <c r="G162" s="401"/>
      <c r="H162" s="401"/>
      <c r="I162" s="401"/>
      <c r="J162" s="402"/>
    </row>
    <row r="163" spans="1:10" ht="15.75">
      <c r="A163" s="238"/>
      <c r="B163" s="193"/>
      <c r="C163" s="238"/>
      <c r="D163" s="238"/>
      <c r="E163" s="238"/>
      <c r="F163" s="238"/>
      <c r="G163" s="193"/>
      <c r="H163" s="279"/>
      <c r="I163" s="279"/>
      <c r="J163" s="193"/>
    </row>
    <row r="164" spans="1:11" ht="66.75" customHeight="1">
      <c r="A164" s="564" t="s">
        <v>651</v>
      </c>
      <c r="B164" s="575"/>
      <c r="C164" s="575"/>
      <c r="D164" s="575"/>
      <c r="E164" s="575"/>
      <c r="F164" s="575"/>
      <c r="G164" s="575"/>
      <c r="H164" s="575"/>
      <c r="I164" s="575"/>
      <c r="J164" s="575"/>
      <c r="K164" s="575"/>
    </row>
    <row r="165" spans="1:10" ht="15.75">
      <c r="A165" s="238"/>
      <c r="B165" s="193"/>
      <c r="C165" s="238"/>
      <c r="D165" s="238"/>
      <c r="E165" s="238"/>
      <c r="F165" s="238"/>
      <c r="G165" s="193"/>
      <c r="H165" s="279"/>
      <c r="I165" s="279"/>
      <c r="J165" s="193"/>
    </row>
    <row r="166" spans="1:10" ht="15.75">
      <c r="A166" s="284"/>
      <c r="B166" s="284" t="s">
        <v>652</v>
      </c>
      <c r="C166" s="284"/>
      <c r="D166" s="284"/>
      <c r="E166" s="284"/>
      <c r="F166" s="238"/>
      <c r="G166" s="193"/>
      <c r="H166" s="279"/>
      <c r="I166" s="279"/>
      <c r="J166" s="193"/>
    </row>
    <row r="167" spans="1:10" ht="15.75">
      <c r="A167" s="238"/>
      <c r="B167" s="193"/>
      <c r="C167" s="238"/>
      <c r="D167" s="238"/>
      <c r="E167" s="238"/>
      <c r="F167" s="238"/>
      <c r="G167" s="193"/>
      <c r="H167" s="279"/>
      <c r="I167" s="279"/>
      <c r="J167" s="193"/>
    </row>
    <row r="168" spans="1:10" ht="22.5" customHeight="1">
      <c r="A168" s="535" t="s">
        <v>547</v>
      </c>
      <c r="B168" s="567" t="s">
        <v>1</v>
      </c>
      <c r="C168" s="567" t="s">
        <v>653</v>
      </c>
      <c r="D168" s="567" t="s">
        <v>654</v>
      </c>
      <c r="E168" s="201" t="s">
        <v>581</v>
      </c>
      <c r="F168" s="238"/>
      <c r="G168" s="238"/>
      <c r="H168" s="258"/>
      <c r="I168" s="279"/>
      <c r="J168" s="193"/>
    </row>
    <row r="169" spans="1:10" ht="78.75">
      <c r="A169" s="536"/>
      <c r="B169" s="567"/>
      <c r="C169" s="567"/>
      <c r="D169" s="567"/>
      <c r="E169" s="271" t="s">
        <v>737</v>
      </c>
      <c r="F169" s="367"/>
      <c r="G169" s="367"/>
      <c r="H169" s="273"/>
      <c r="I169" s="279"/>
      <c r="J169" s="193"/>
    </row>
    <row r="170" spans="1:10" ht="15.75">
      <c r="A170" s="282">
        <v>1</v>
      </c>
      <c r="B170" s="283">
        <v>2</v>
      </c>
      <c r="C170" s="283">
        <v>3</v>
      </c>
      <c r="D170" s="283">
        <v>4</v>
      </c>
      <c r="E170" s="275">
        <v>5</v>
      </c>
      <c r="F170" s="232"/>
      <c r="G170" s="232"/>
      <c r="H170" s="232"/>
      <c r="I170" s="279"/>
      <c r="J170" s="193"/>
    </row>
    <row r="171" spans="1:10" ht="15.75">
      <c r="A171" s="201"/>
      <c r="B171" s="197"/>
      <c r="C171" s="203"/>
      <c r="D171" s="203"/>
      <c r="E171" s="266"/>
      <c r="F171" s="277"/>
      <c r="G171" s="277"/>
      <c r="H171" s="277"/>
      <c r="I171" s="279"/>
      <c r="J171" s="193"/>
    </row>
    <row r="172" spans="1:10" ht="15.75">
      <c r="A172" s="201"/>
      <c r="B172" s="197"/>
      <c r="C172" s="203"/>
      <c r="D172" s="203"/>
      <c r="E172" s="266"/>
      <c r="F172" s="277"/>
      <c r="G172" s="277"/>
      <c r="H172" s="277"/>
      <c r="I172" s="279"/>
      <c r="J172" s="193"/>
    </row>
    <row r="173" spans="1:10" ht="15.75">
      <c r="A173" s="561" t="s">
        <v>563</v>
      </c>
      <c r="B173" s="563"/>
      <c r="C173" s="203" t="s">
        <v>564</v>
      </c>
      <c r="D173" s="203" t="s">
        <v>564</v>
      </c>
      <c r="E173" s="266">
        <f>SUM(E171:E172)</f>
        <v>0</v>
      </c>
      <c r="F173" s="277"/>
      <c r="G173" s="277"/>
      <c r="H173" s="277"/>
      <c r="I173" s="279"/>
      <c r="J173" s="193"/>
    </row>
    <row r="174" spans="1:11" ht="48" customHeight="1">
      <c r="A174" s="578" t="s">
        <v>656</v>
      </c>
      <c r="B174" s="578"/>
      <c r="C174" s="578"/>
      <c r="D174" s="578"/>
      <c r="E174" s="578"/>
      <c r="F174" s="578"/>
      <c r="G174" s="578"/>
      <c r="H174" s="578"/>
      <c r="I174" s="578"/>
      <c r="J174" s="578"/>
      <c r="K174" s="578"/>
    </row>
    <row r="175" spans="1:10" ht="15.75">
      <c r="A175" s="238"/>
      <c r="B175" s="193"/>
      <c r="C175" s="238"/>
      <c r="D175" s="238"/>
      <c r="E175" s="238"/>
      <c r="F175" s="238"/>
      <c r="G175" s="193"/>
      <c r="H175" s="279"/>
      <c r="I175" s="279"/>
      <c r="J175" s="193"/>
    </row>
    <row r="176" spans="1:10" ht="15.75">
      <c r="A176" s="284"/>
      <c r="B176" s="284" t="s">
        <v>657</v>
      </c>
      <c r="C176" s="284"/>
      <c r="D176" s="284"/>
      <c r="E176" s="284"/>
      <c r="F176" s="284"/>
      <c r="G176" s="193"/>
      <c r="H176" s="279"/>
      <c r="I176" s="279"/>
      <c r="J176" s="193"/>
    </row>
    <row r="177" spans="1:10" ht="15.75">
      <c r="A177" s="238"/>
      <c r="B177" s="193"/>
      <c r="C177" s="238"/>
      <c r="D177" s="238"/>
      <c r="E177" s="238"/>
      <c r="F177" s="238"/>
      <c r="G177" s="193"/>
      <c r="H177" s="279"/>
      <c r="I177" s="279"/>
      <c r="J177" s="193"/>
    </row>
    <row r="178" spans="1:10" ht="50.25" customHeight="1">
      <c r="A178" s="535" t="s">
        <v>547</v>
      </c>
      <c r="B178" s="567" t="s">
        <v>568</v>
      </c>
      <c r="C178" s="567" t="s">
        <v>658</v>
      </c>
      <c r="D178" s="567" t="s">
        <v>659</v>
      </c>
      <c r="E178" s="237" t="s">
        <v>738</v>
      </c>
      <c r="F178" s="238"/>
      <c r="G178" s="238"/>
      <c r="H178" s="258"/>
      <c r="I178" s="279"/>
      <c r="J178" s="193"/>
    </row>
    <row r="179" spans="1:10" ht="31.5">
      <c r="A179" s="536"/>
      <c r="B179" s="567"/>
      <c r="C179" s="567"/>
      <c r="D179" s="567"/>
      <c r="E179" s="271" t="s">
        <v>739</v>
      </c>
      <c r="F179" s="367"/>
      <c r="G179" s="367"/>
      <c r="H179" s="273"/>
      <c r="I179" s="279"/>
      <c r="J179" s="193"/>
    </row>
    <row r="180" spans="1:10" ht="15.75">
      <c r="A180" s="282">
        <v>1</v>
      </c>
      <c r="B180" s="283">
        <v>2</v>
      </c>
      <c r="C180" s="283">
        <v>3</v>
      </c>
      <c r="D180" s="283">
        <v>4</v>
      </c>
      <c r="E180" s="275">
        <v>5</v>
      </c>
      <c r="F180" s="232"/>
      <c r="G180" s="232"/>
      <c r="H180" s="232"/>
      <c r="I180" s="279"/>
      <c r="J180" s="193"/>
    </row>
    <row r="181" spans="1:10" ht="15.75">
      <c r="A181" s="282">
        <v>1</v>
      </c>
      <c r="B181" s="304" t="s">
        <v>661</v>
      </c>
      <c r="C181" s="283" t="s">
        <v>662</v>
      </c>
      <c r="D181" s="305">
        <v>9</v>
      </c>
      <c r="E181" s="379">
        <f>19414.63-3016-590.9</f>
        <v>15807.730000000001</v>
      </c>
      <c r="F181" s="232"/>
      <c r="G181" s="232"/>
      <c r="H181" s="232"/>
      <c r="I181" s="279"/>
      <c r="J181" s="193"/>
    </row>
    <row r="182" spans="1:10" ht="15.75">
      <c r="A182" s="282">
        <v>2</v>
      </c>
      <c r="B182" s="304" t="s">
        <v>663</v>
      </c>
      <c r="C182" s="283" t="s">
        <v>662</v>
      </c>
      <c r="D182" s="305">
        <v>9</v>
      </c>
      <c r="E182" s="379">
        <v>3600</v>
      </c>
      <c r="F182" s="232"/>
      <c r="G182" s="232"/>
      <c r="H182" s="232"/>
      <c r="I182" s="279"/>
      <c r="J182" s="193"/>
    </row>
    <row r="183" spans="1:10" ht="31.5">
      <c r="A183" s="282">
        <v>3</v>
      </c>
      <c r="B183" s="304" t="s">
        <v>664</v>
      </c>
      <c r="C183" s="283" t="s">
        <v>662</v>
      </c>
      <c r="D183" s="305">
        <v>9</v>
      </c>
      <c r="E183" s="380">
        <v>18000</v>
      </c>
      <c r="F183" s="232"/>
      <c r="G183" s="232"/>
      <c r="H183" s="232"/>
      <c r="I183" s="279"/>
      <c r="J183" s="193"/>
    </row>
    <row r="184" spans="1:10" ht="15.75">
      <c r="A184" s="282">
        <v>4</v>
      </c>
      <c r="B184" s="304" t="s">
        <v>665</v>
      </c>
      <c r="C184" s="283" t="s">
        <v>662</v>
      </c>
      <c r="D184" s="305">
        <v>9</v>
      </c>
      <c r="E184" s="379">
        <v>85000</v>
      </c>
      <c r="F184" s="232"/>
      <c r="G184" s="232"/>
      <c r="H184" s="232"/>
      <c r="I184" s="279"/>
      <c r="J184" s="193"/>
    </row>
    <row r="185" spans="1:10" ht="31.5">
      <c r="A185" s="282">
        <v>5</v>
      </c>
      <c r="B185" s="304" t="s">
        <v>666</v>
      </c>
      <c r="C185" s="283" t="s">
        <v>662</v>
      </c>
      <c r="D185" s="305">
        <v>9</v>
      </c>
      <c r="E185" s="379">
        <v>448000</v>
      </c>
      <c r="F185" s="232"/>
      <c r="G185" s="232"/>
      <c r="H185" s="232"/>
      <c r="I185" s="279"/>
      <c r="J185" s="193"/>
    </row>
    <row r="186" spans="1:10" ht="15.75">
      <c r="A186" s="282">
        <v>6</v>
      </c>
      <c r="B186" s="304" t="s">
        <v>667</v>
      </c>
      <c r="C186" s="283" t="s">
        <v>662</v>
      </c>
      <c r="D186" s="305">
        <v>1</v>
      </c>
      <c r="E186" s="379">
        <v>15000</v>
      </c>
      <c r="F186" s="232"/>
      <c r="G186" s="232"/>
      <c r="H186" s="232"/>
      <c r="I186" s="279"/>
      <c r="J186" s="193"/>
    </row>
    <row r="187" spans="1:10" ht="15.75">
      <c r="A187" s="282">
        <v>7</v>
      </c>
      <c r="B187" s="304" t="s">
        <v>668</v>
      </c>
      <c r="C187" s="283" t="s">
        <v>662</v>
      </c>
      <c r="D187" s="305">
        <v>1</v>
      </c>
      <c r="E187" s="379">
        <v>15000</v>
      </c>
      <c r="F187" s="232"/>
      <c r="G187" s="232"/>
      <c r="H187" s="232"/>
      <c r="I187" s="279"/>
      <c r="J187" s="193"/>
    </row>
    <row r="188" spans="1:10" ht="31.5">
      <c r="A188" s="282">
        <v>8</v>
      </c>
      <c r="B188" s="304" t="s">
        <v>671</v>
      </c>
      <c r="C188" s="283" t="s">
        <v>662</v>
      </c>
      <c r="D188" s="305">
        <v>4</v>
      </c>
      <c r="E188" s="380">
        <f>1800000-564000-20000+1051898.98+32320.45-500000-400000-8000-100000</f>
        <v>1292219.4300000002</v>
      </c>
      <c r="F188" s="232"/>
      <c r="G188" s="232"/>
      <c r="H188" s="232"/>
      <c r="I188" s="279"/>
      <c r="J188" s="193"/>
    </row>
    <row r="189" spans="1:10" ht="31.5">
      <c r="A189" s="282">
        <v>9</v>
      </c>
      <c r="B189" s="304" t="s">
        <v>740</v>
      </c>
      <c r="C189" s="283" t="s">
        <v>662</v>
      </c>
      <c r="D189" s="305">
        <v>1</v>
      </c>
      <c r="E189" s="380">
        <v>80000</v>
      </c>
      <c r="F189" s="232"/>
      <c r="G189" s="232"/>
      <c r="H189" s="232"/>
      <c r="I189" s="279"/>
      <c r="J189" s="193"/>
    </row>
    <row r="190" spans="1:10" ht="31.5">
      <c r="A190" s="282">
        <v>10</v>
      </c>
      <c r="B190" s="304" t="s">
        <v>672</v>
      </c>
      <c r="C190" s="283" t="s">
        <v>662</v>
      </c>
      <c r="D190" s="305">
        <v>4</v>
      </c>
      <c r="E190" s="380">
        <v>120000</v>
      </c>
      <c r="F190" s="232"/>
      <c r="G190" s="232"/>
      <c r="H190" s="232"/>
      <c r="I190" s="279"/>
      <c r="J190" s="193"/>
    </row>
    <row r="191" spans="1:10" ht="15.75">
      <c r="A191" s="561" t="s">
        <v>563</v>
      </c>
      <c r="B191" s="563"/>
      <c r="C191" s="203" t="s">
        <v>564</v>
      </c>
      <c r="D191" s="203" t="s">
        <v>564</v>
      </c>
      <c r="E191" s="377">
        <f>SUM(E181:E190)</f>
        <v>2092627.1600000001</v>
      </c>
      <c r="F191" s="277"/>
      <c r="G191" s="277"/>
      <c r="H191" s="277"/>
      <c r="I191" s="279"/>
      <c r="J191" s="193"/>
    </row>
    <row r="192" spans="1:10" ht="31.5">
      <c r="A192" s="282">
        <v>11</v>
      </c>
      <c r="B192" s="304" t="s">
        <v>753</v>
      </c>
      <c r="C192" s="283" t="s">
        <v>662</v>
      </c>
      <c r="D192" s="305">
        <v>1</v>
      </c>
      <c r="E192" s="380">
        <v>500000</v>
      </c>
      <c r="F192" s="277"/>
      <c r="G192" s="277"/>
      <c r="H192" s="277"/>
      <c r="I192" s="279"/>
      <c r="J192" s="193"/>
    </row>
    <row r="193" spans="1:10" ht="15.75">
      <c r="A193" s="561" t="s">
        <v>563</v>
      </c>
      <c r="B193" s="563"/>
      <c r="C193" s="203" t="s">
        <v>564</v>
      </c>
      <c r="D193" s="203" t="s">
        <v>564</v>
      </c>
      <c r="E193" s="377">
        <f>SUM(E192)</f>
        <v>500000</v>
      </c>
      <c r="F193" s="277"/>
      <c r="G193" s="277"/>
      <c r="H193" s="277"/>
      <c r="I193" s="279"/>
      <c r="J193" s="193"/>
    </row>
    <row r="194" spans="1:10" ht="15.75">
      <c r="A194" s="238"/>
      <c r="B194" s="193"/>
      <c r="C194" s="238"/>
      <c r="D194" s="238"/>
      <c r="E194" s="238"/>
      <c r="F194" s="238"/>
      <c r="G194" s="193"/>
      <c r="H194" s="279"/>
      <c r="I194" s="279"/>
      <c r="J194" s="193"/>
    </row>
    <row r="195" spans="1:11" ht="53.25" customHeight="1">
      <c r="A195" s="564" t="s">
        <v>673</v>
      </c>
      <c r="B195" s="564"/>
      <c r="C195" s="564"/>
      <c r="D195" s="564"/>
      <c r="E195" s="564"/>
      <c r="F195" s="564"/>
      <c r="G195" s="564"/>
      <c r="H195" s="564"/>
      <c r="I195" s="564"/>
      <c r="J195" s="564"/>
      <c r="K195" s="564"/>
    </row>
    <row r="196" spans="1:10" ht="15.75">
      <c r="A196" s="238"/>
      <c r="B196" s="193"/>
      <c r="C196" s="238"/>
      <c r="D196" s="238"/>
      <c r="E196" s="238"/>
      <c r="F196" s="238"/>
      <c r="G196" s="193"/>
      <c r="H196" s="279"/>
      <c r="I196" s="279"/>
      <c r="J196" s="193"/>
    </row>
    <row r="197" spans="1:10" ht="15.75">
      <c r="A197" s="284"/>
      <c r="B197" s="284" t="s">
        <v>674</v>
      </c>
      <c r="C197" s="284"/>
      <c r="D197" s="284"/>
      <c r="E197" s="284"/>
      <c r="F197" s="238"/>
      <c r="G197" s="193"/>
      <c r="H197" s="279"/>
      <c r="I197" s="279"/>
      <c r="J197" s="193"/>
    </row>
    <row r="198" spans="1:10" ht="15.75">
      <c r="A198" s="238"/>
      <c r="B198" s="193"/>
      <c r="C198" s="238"/>
      <c r="D198" s="238"/>
      <c r="E198" s="238"/>
      <c r="F198" s="238"/>
      <c r="G198" s="193"/>
      <c r="H198" s="279"/>
      <c r="I198" s="279"/>
      <c r="J198" s="193"/>
    </row>
    <row r="199" spans="1:10" ht="39" customHeight="1">
      <c r="A199" s="535" t="s">
        <v>547</v>
      </c>
      <c r="B199" s="567" t="s">
        <v>1</v>
      </c>
      <c r="C199" s="567" t="s">
        <v>675</v>
      </c>
      <c r="D199" s="237" t="s">
        <v>741</v>
      </c>
      <c r="E199" s="238"/>
      <c r="F199" s="238"/>
      <c r="G199" s="258"/>
      <c r="H199" s="279"/>
      <c r="I199" s="279"/>
      <c r="J199" s="193"/>
    </row>
    <row r="200" spans="1:10" ht="31.5">
      <c r="A200" s="536"/>
      <c r="B200" s="567"/>
      <c r="C200" s="567"/>
      <c r="D200" s="271" t="s">
        <v>742</v>
      </c>
      <c r="E200" s="367"/>
      <c r="F200" s="367"/>
      <c r="G200" s="273"/>
      <c r="H200" s="279"/>
      <c r="I200" s="279"/>
      <c r="J200" s="193"/>
    </row>
    <row r="201" spans="1:10" ht="15.75">
      <c r="A201" s="282">
        <v>1</v>
      </c>
      <c r="B201" s="283">
        <v>2</v>
      </c>
      <c r="C201" s="283">
        <v>3</v>
      </c>
      <c r="D201" s="275">
        <v>5</v>
      </c>
      <c r="E201" s="232"/>
      <c r="F201" s="232"/>
      <c r="G201" s="232"/>
      <c r="H201" s="279"/>
      <c r="I201" s="279"/>
      <c r="J201" s="193"/>
    </row>
    <row r="202" spans="1:10" ht="63">
      <c r="A202" s="282">
        <v>1</v>
      </c>
      <c r="B202" s="304" t="s">
        <v>677</v>
      </c>
      <c r="C202" s="381">
        <v>3</v>
      </c>
      <c r="D202" s="382">
        <v>134000</v>
      </c>
      <c r="E202" s="232"/>
      <c r="F202" s="232"/>
      <c r="G202" s="232"/>
      <c r="H202" s="279"/>
      <c r="I202" s="279"/>
      <c r="J202" s="193"/>
    </row>
    <row r="203" spans="1:10" ht="47.25">
      <c r="A203" s="282">
        <v>2</v>
      </c>
      <c r="B203" s="304" t="s">
        <v>678</v>
      </c>
      <c r="C203" s="381">
        <v>4</v>
      </c>
      <c r="D203" s="382">
        <v>100000</v>
      </c>
      <c r="E203" s="232"/>
      <c r="F203" s="232"/>
      <c r="G203" s="232"/>
      <c r="H203" s="279"/>
      <c r="I203" s="279"/>
      <c r="J203" s="193"/>
    </row>
    <row r="204" spans="1:10" ht="15.75">
      <c r="A204" s="282">
        <v>3</v>
      </c>
      <c r="B204" s="304" t="s">
        <v>679</v>
      </c>
      <c r="C204" s="381">
        <v>2</v>
      </c>
      <c r="D204" s="382">
        <v>35000</v>
      </c>
      <c r="E204" s="232"/>
      <c r="F204" s="232"/>
      <c r="G204" s="232"/>
      <c r="H204" s="279"/>
      <c r="I204" s="279"/>
      <c r="J204" s="193"/>
    </row>
    <row r="205" spans="1:10" ht="15.75">
      <c r="A205" s="282">
        <v>4</v>
      </c>
      <c r="B205" s="304" t="s">
        <v>680</v>
      </c>
      <c r="C205" s="381">
        <v>1</v>
      </c>
      <c r="D205" s="382">
        <v>80000</v>
      </c>
      <c r="E205" s="232"/>
      <c r="F205" s="232"/>
      <c r="G205" s="232"/>
      <c r="H205" s="279"/>
      <c r="I205" s="279"/>
      <c r="J205" s="193"/>
    </row>
    <row r="206" spans="1:10" ht="31.5">
      <c r="A206" s="282">
        <v>5</v>
      </c>
      <c r="B206" s="304" t="s">
        <v>743</v>
      </c>
      <c r="C206" s="381">
        <v>1</v>
      </c>
      <c r="D206" s="382">
        <v>50000</v>
      </c>
      <c r="E206" s="232"/>
      <c r="F206" s="232"/>
      <c r="G206" s="232"/>
      <c r="H206" s="279"/>
      <c r="I206" s="279"/>
      <c r="J206" s="193"/>
    </row>
    <row r="207" spans="1:10" ht="16.5" customHeight="1">
      <c r="A207" s="282">
        <v>6</v>
      </c>
      <c r="B207" s="304" t="s">
        <v>744</v>
      </c>
      <c r="C207" s="381">
        <v>1</v>
      </c>
      <c r="D207" s="382">
        <v>80000</v>
      </c>
      <c r="E207" s="277"/>
      <c r="F207" s="277"/>
      <c r="G207" s="277"/>
      <c r="H207" s="279"/>
      <c r="I207" s="279"/>
      <c r="J207" s="193"/>
    </row>
    <row r="208" spans="1:10" ht="31.5">
      <c r="A208" s="282">
        <v>7</v>
      </c>
      <c r="B208" s="304" t="s">
        <v>745</v>
      </c>
      <c r="C208" s="381">
        <v>5</v>
      </c>
      <c r="D208" s="382">
        <f>295014.58+72402.32</f>
        <v>367416.9</v>
      </c>
      <c r="E208" s="277"/>
      <c r="F208" s="277"/>
      <c r="G208" s="277"/>
      <c r="H208" s="279"/>
      <c r="I208" s="279"/>
      <c r="J208" s="193"/>
    </row>
    <row r="209" spans="1:10" ht="31.5">
      <c r="A209" s="282">
        <v>8</v>
      </c>
      <c r="B209" s="304" t="s">
        <v>746</v>
      </c>
      <c r="C209" s="381">
        <v>24</v>
      </c>
      <c r="D209" s="382">
        <f>550000+122859.79</f>
        <v>672859.79</v>
      </c>
      <c r="E209" s="277"/>
      <c r="F209" s="277"/>
      <c r="G209" s="277"/>
      <c r="H209" s="279"/>
      <c r="I209" s="279"/>
      <c r="J209" s="193"/>
    </row>
    <row r="210" spans="1:10" ht="15.75">
      <c r="A210" s="576" t="s">
        <v>563</v>
      </c>
      <c r="B210" s="577"/>
      <c r="C210" s="307" t="s">
        <v>564</v>
      </c>
      <c r="D210" s="377">
        <f>SUM(D202:D209)</f>
        <v>1519276.69</v>
      </c>
      <c r="E210" s="277"/>
      <c r="F210" s="277"/>
      <c r="G210" s="277"/>
      <c r="H210" s="279"/>
      <c r="I210" s="279"/>
      <c r="J210" s="193"/>
    </row>
    <row r="211" spans="1:10" ht="15.75">
      <c r="A211" s="238"/>
      <c r="B211" s="193"/>
      <c r="C211" s="238"/>
      <c r="D211" s="238"/>
      <c r="E211" s="238"/>
      <c r="F211" s="238"/>
      <c r="G211" s="193"/>
      <c r="H211" s="279"/>
      <c r="I211" s="279"/>
      <c r="J211" s="193"/>
    </row>
    <row r="212" spans="1:11" ht="149.25" customHeight="1">
      <c r="A212" s="564" t="s">
        <v>681</v>
      </c>
      <c r="B212" s="564"/>
      <c r="C212" s="564"/>
      <c r="D212" s="564"/>
      <c r="E212" s="564"/>
      <c r="F212" s="564"/>
      <c r="G212" s="564"/>
      <c r="H212" s="564"/>
      <c r="I212" s="564"/>
      <c r="J212" s="564"/>
      <c r="K212" s="564"/>
    </row>
    <row r="213" spans="1:10" ht="15.75">
      <c r="A213" s="238"/>
      <c r="B213" s="193"/>
      <c r="C213" s="238"/>
      <c r="D213" s="238"/>
      <c r="E213" s="238"/>
      <c r="F213" s="238"/>
      <c r="G213" s="193"/>
      <c r="H213" s="279"/>
      <c r="I213" s="279"/>
      <c r="J213" s="193"/>
    </row>
    <row r="214" spans="1:4" ht="15.75">
      <c r="A214" s="195"/>
      <c r="B214" s="195" t="s">
        <v>682</v>
      </c>
      <c r="C214" s="195"/>
      <c r="D214" s="195"/>
    </row>
    <row r="215" ht="15.75">
      <c r="B215" s="187"/>
    </row>
    <row r="216" spans="1:10" ht="50.25" customHeight="1">
      <c r="A216" s="535" t="s">
        <v>547</v>
      </c>
      <c r="B216" s="535" t="s">
        <v>568</v>
      </c>
      <c r="C216" s="579"/>
      <c r="D216" s="523" t="s">
        <v>653</v>
      </c>
      <c r="E216" s="525" t="s">
        <v>683</v>
      </c>
      <c r="F216" s="228" t="s">
        <v>747</v>
      </c>
      <c r="G216" s="356"/>
      <c r="H216" s="356"/>
      <c r="I216" s="311"/>
      <c r="J216" s="227"/>
    </row>
    <row r="217" spans="1:10" ht="41.25" customHeight="1">
      <c r="A217" s="536"/>
      <c r="B217" s="536"/>
      <c r="C217" s="580"/>
      <c r="D217" s="524"/>
      <c r="E217" s="526"/>
      <c r="F217" s="228" t="s">
        <v>748</v>
      </c>
      <c r="G217" s="356"/>
      <c r="H217" s="356"/>
      <c r="I217" s="193"/>
      <c r="J217" s="229"/>
    </row>
    <row r="218" spans="1:10" ht="15.75" customHeight="1">
      <c r="A218" s="233">
        <v>1</v>
      </c>
      <c r="B218" s="581">
        <v>2</v>
      </c>
      <c r="C218" s="582"/>
      <c r="D218" s="233">
        <v>3</v>
      </c>
      <c r="E218" s="233">
        <v>4</v>
      </c>
      <c r="F218" s="233">
        <v>5</v>
      </c>
      <c r="G218" s="279"/>
      <c r="H218" s="279"/>
      <c r="I218" s="279"/>
      <c r="J218" s="279"/>
    </row>
    <row r="219" spans="1:10" ht="15.75">
      <c r="A219" s="207">
        <v>1</v>
      </c>
      <c r="B219" s="583" t="s">
        <v>685</v>
      </c>
      <c r="C219" s="584"/>
      <c r="D219" s="207">
        <v>412</v>
      </c>
      <c r="E219" s="383">
        <v>208.12</v>
      </c>
      <c r="F219" s="266">
        <f>83248+200000</f>
        <v>283248</v>
      </c>
      <c r="G219" s="279"/>
      <c r="H219" s="279"/>
      <c r="I219" s="279"/>
      <c r="J219" s="193"/>
    </row>
    <row r="220" spans="1:10" ht="15.75">
      <c r="A220" s="207">
        <v>2</v>
      </c>
      <c r="B220" s="583" t="s">
        <v>686</v>
      </c>
      <c r="C220" s="584"/>
      <c r="D220" s="207">
        <v>1400</v>
      </c>
      <c r="E220" s="207">
        <v>15</v>
      </c>
      <c r="F220" s="266">
        <f>D220*E220</f>
        <v>21000</v>
      </c>
      <c r="G220" s="279"/>
      <c r="H220" s="279"/>
      <c r="I220" s="279"/>
      <c r="J220" s="193"/>
    </row>
    <row r="221" spans="1:10" ht="15.75">
      <c r="A221" s="207"/>
      <c r="B221" s="568"/>
      <c r="C221" s="570"/>
      <c r="D221" s="207"/>
      <c r="E221" s="207"/>
      <c r="F221" s="266"/>
      <c r="G221" s="193"/>
      <c r="H221" s="279"/>
      <c r="I221" s="279"/>
      <c r="J221" s="193"/>
    </row>
    <row r="222" spans="1:10" ht="15.75">
      <c r="A222" s="589" t="s">
        <v>573</v>
      </c>
      <c r="B222" s="590"/>
      <c r="C222" s="591"/>
      <c r="D222" s="317"/>
      <c r="E222" s="317" t="s">
        <v>564</v>
      </c>
      <c r="F222" s="377">
        <f>SUM(F219:F221)</f>
        <v>304248</v>
      </c>
      <c r="G222" s="193"/>
      <c r="H222" s="193"/>
      <c r="I222" s="193"/>
      <c r="J222" s="193"/>
    </row>
    <row r="223" ht="15.75">
      <c r="B223" s="187"/>
    </row>
    <row r="224" spans="1:4" ht="15.75">
      <c r="A224" s="195"/>
      <c r="B224" s="195" t="s">
        <v>688</v>
      </c>
      <c r="C224" s="195"/>
      <c r="D224" s="195"/>
    </row>
    <row r="225" ht="15.75">
      <c r="B225" s="187"/>
    </row>
    <row r="226" spans="1:10" ht="41.25" customHeight="1">
      <c r="A226" s="535" t="s">
        <v>547</v>
      </c>
      <c r="B226" s="535" t="s">
        <v>568</v>
      </c>
      <c r="C226" s="579"/>
      <c r="D226" s="523" t="s">
        <v>653</v>
      </c>
      <c r="E226" s="525" t="s">
        <v>683</v>
      </c>
      <c r="F226" s="228" t="s">
        <v>747</v>
      </c>
      <c r="G226" s="356"/>
      <c r="H226" s="356"/>
      <c r="I226" s="311"/>
      <c r="J226" s="227"/>
    </row>
    <row r="227" spans="1:10" ht="42.75" customHeight="1">
      <c r="A227" s="536"/>
      <c r="B227" s="536"/>
      <c r="C227" s="580"/>
      <c r="D227" s="524"/>
      <c r="E227" s="526"/>
      <c r="F227" s="228" t="s">
        <v>748</v>
      </c>
      <c r="G227" s="356"/>
      <c r="H227" s="356"/>
      <c r="I227" s="193"/>
      <c r="J227" s="229"/>
    </row>
    <row r="228" spans="1:10" ht="15.75" customHeight="1">
      <c r="A228" s="233">
        <v>1</v>
      </c>
      <c r="B228" s="581">
        <v>2</v>
      </c>
      <c r="C228" s="582"/>
      <c r="D228" s="233">
        <v>3</v>
      </c>
      <c r="E228" s="233">
        <v>4</v>
      </c>
      <c r="F228" s="233">
        <v>5</v>
      </c>
      <c r="G228" s="279"/>
      <c r="H228" s="279"/>
      <c r="I228" s="279"/>
      <c r="J228" s="279"/>
    </row>
    <row r="229" spans="1:10" ht="15.75">
      <c r="A229" s="207">
        <v>1</v>
      </c>
      <c r="B229" s="568" t="s">
        <v>693</v>
      </c>
      <c r="C229" s="570"/>
      <c r="D229" s="207">
        <v>1000</v>
      </c>
      <c r="E229" s="207">
        <v>50</v>
      </c>
      <c r="F229" s="266">
        <v>50000</v>
      </c>
      <c r="G229" s="279"/>
      <c r="H229" s="279"/>
      <c r="I229" s="279"/>
      <c r="J229" s="193"/>
    </row>
    <row r="230" spans="1:10" ht="15.75">
      <c r="A230" s="207">
        <v>2</v>
      </c>
      <c r="B230" s="568" t="s">
        <v>755</v>
      </c>
      <c r="C230" s="611"/>
      <c r="D230" s="207">
        <v>1000</v>
      </c>
      <c r="E230" s="207">
        <v>50</v>
      </c>
      <c r="F230" s="266">
        <v>50000</v>
      </c>
      <c r="G230" s="279"/>
      <c r="H230" s="279"/>
      <c r="I230" s="279"/>
      <c r="J230" s="193"/>
    </row>
    <row r="231" spans="1:10" ht="15.75">
      <c r="A231" s="207">
        <v>3</v>
      </c>
      <c r="B231" s="568" t="s">
        <v>756</v>
      </c>
      <c r="C231" s="611"/>
      <c r="D231" s="207">
        <v>1000</v>
      </c>
      <c r="E231" s="207">
        <v>100</v>
      </c>
      <c r="F231" s="266">
        <v>100000</v>
      </c>
      <c r="G231" s="279"/>
      <c r="H231" s="279"/>
      <c r="I231" s="279"/>
      <c r="J231" s="193"/>
    </row>
    <row r="232" spans="1:10" ht="15.75">
      <c r="A232" s="207">
        <v>4</v>
      </c>
      <c r="B232" s="581" t="s">
        <v>765</v>
      </c>
      <c r="C232" s="612"/>
      <c r="D232" s="415">
        <v>500</v>
      </c>
      <c r="E232" s="415">
        <f>F232/D232</f>
        <v>200</v>
      </c>
      <c r="F232" s="358">
        <v>100000</v>
      </c>
      <c r="G232" s="193"/>
      <c r="H232" s="279"/>
      <c r="I232" s="279"/>
      <c r="J232" s="193"/>
    </row>
    <row r="233" spans="1:256" s="195" customFormat="1" ht="15.75">
      <c r="A233" s="589" t="s">
        <v>573</v>
      </c>
      <c r="B233" s="590"/>
      <c r="C233" s="591"/>
      <c r="D233" s="317"/>
      <c r="E233" s="317" t="s">
        <v>564</v>
      </c>
      <c r="F233" s="377">
        <f>SUM(F229:F232)</f>
        <v>300000</v>
      </c>
      <c r="G233" s="224"/>
      <c r="H233" s="224"/>
      <c r="I233" s="224"/>
      <c r="J233" s="224"/>
      <c r="IV233" s="407">
        <f>SUM(F233:IU233)</f>
        <v>300000</v>
      </c>
    </row>
    <row r="234" spans="1:11" ht="135" customHeight="1">
      <c r="A234" s="554" t="s">
        <v>694</v>
      </c>
      <c r="B234" s="554"/>
      <c r="C234" s="554"/>
      <c r="D234" s="554"/>
      <c r="E234" s="554"/>
      <c r="F234" s="554"/>
      <c r="G234" s="554"/>
      <c r="H234" s="554"/>
      <c r="I234" s="554"/>
      <c r="J234" s="554"/>
      <c r="K234" s="554"/>
    </row>
    <row r="235" ht="15.75">
      <c r="B235" s="187"/>
    </row>
    <row r="236" spans="1:4" ht="15.75">
      <c r="A236" s="195"/>
      <c r="B236" s="195" t="s">
        <v>695</v>
      </c>
      <c r="C236" s="195"/>
      <c r="D236" s="195"/>
    </row>
    <row r="237" ht="15.75">
      <c r="B237" s="187"/>
    </row>
    <row r="238" spans="1:10" ht="48" customHeight="1">
      <c r="A238" s="535" t="s">
        <v>547</v>
      </c>
      <c r="B238" s="535" t="s">
        <v>568</v>
      </c>
      <c r="C238" s="579"/>
      <c r="D238" s="523" t="s">
        <v>653</v>
      </c>
      <c r="E238" s="525" t="s">
        <v>683</v>
      </c>
      <c r="F238" s="228" t="s">
        <v>747</v>
      </c>
      <c r="G238" s="356"/>
      <c r="H238" s="356"/>
      <c r="I238" s="311"/>
      <c r="J238" s="227"/>
    </row>
    <row r="239" spans="1:10" ht="49.5" customHeight="1">
      <c r="A239" s="536"/>
      <c r="B239" s="536"/>
      <c r="C239" s="580"/>
      <c r="D239" s="524"/>
      <c r="E239" s="526"/>
      <c r="F239" s="228" t="s">
        <v>749</v>
      </c>
      <c r="G239" s="356"/>
      <c r="H239" s="356"/>
      <c r="I239" s="193"/>
      <c r="J239" s="229"/>
    </row>
    <row r="240" spans="1:10" ht="15.75" customHeight="1">
      <c r="A240" s="233">
        <v>1</v>
      </c>
      <c r="B240" s="581">
        <v>2</v>
      </c>
      <c r="C240" s="582"/>
      <c r="D240" s="233">
        <v>3</v>
      </c>
      <c r="E240" s="233">
        <v>4</v>
      </c>
      <c r="F240" s="233">
        <v>5</v>
      </c>
      <c r="G240" s="279"/>
      <c r="H240" s="279"/>
      <c r="I240" s="279"/>
      <c r="J240" s="279"/>
    </row>
    <row r="241" spans="1:10" ht="15.75" customHeight="1">
      <c r="A241" s="233">
        <v>1</v>
      </c>
      <c r="B241" s="234"/>
      <c r="C241" s="312"/>
      <c r="D241" s="233"/>
      <c r="E241" s="233"/>
      <c r="F241" s="358"/>
      <c r="G241" s="279"/>
      <c r="H241" s="279"/>
      <c r="I241" s="279"/>
      <c r="J241" s="279"/>
    </row>
    <row r="242" spans="1:10" ht="15.75">
      <c r="A242" s="207"/>
      <c r="B242" s="568"/>
      <c r="C242" s="570"/>
      <c r="D242" s="207"/>
      <c r="E242" s="207"/>
      <c r="F242" s="358"/>
      <c r="G242" s="279"/>
      <c r="H242" s="279"/>
      <c r="I242" s="279"/>
      <c r="J242" s="193"/>
    </row>
    <row r="243" spans="1:10" ht="15.75">
      <c r="A243" s="207"/>
      <c r="B243" s="568"/>
      <c r="C243" s="570"/>
      <c r="D243" s="207"/>
      <c r="E243" s="207"/>
      <c r="F243" s="358"/>
      <c r="G243" s="193"/>
      <c r="H243" s="279"/>
      <c r="I243" s="279"/>
      <c r="J243" s="193"/>
    </row>
    <row r="244" spans="1:10" s="195" customFormat="1" ht="15.75">
      <c r="A244" s="589" t="s">
        <v>573</v>
      </c>
      <c r="B244" s="590"/>
      <c r="C244" s="591"/>
      <c r="D244" s="317"/>
      <c r="E244" s="317" t="s">
        <v>564</v>
      </c>
      <c r="F244" s="377">
        <f>SUM(F241:F243)</f>
        <v>0</v>
      </c>
      <c r="G244" s="224"/>
      <c r="H244" s="224"/>
      <c r="I244" s="224"/>
      <c r="J244" s="224"/>
    </row>
    <row r="247" spans="1:4" ht="18.75">
      <c r="A247" s="318" t="s">
        <v>696</v>
      </c>
      <c r="B247" s="318"/>
      <c r="C247" s="318"/>
      <c r="D247" s="319"/>
    </row>
    <row r="248" spans="1:4" ht="15.75">
      <c r="A248" s="321"/>
      <c r="B248" s="322"/>
      <c r="C248" s="322"/>
      <c r="D248" s="323"/>
    </row>
    <row r="249" spans="1:4" ht="31.5">
      <c r="A249" s="324" t="s">
        <v>547</v>
      </c>
      <c r="B249" s="596" t="s">
        <v>697</v>
      </c>
      <c r="C249" s="596"/>
      <c r="D249" s="325" t="s">
        <v>698</v>
      </c>
    </row>
    <row r="250" spans="1:4" ht="15.75">
      <c r="A250" s="327">
        <v>1</v>
      </c>
      <c r="B250" s="597" t="s">
        <v>721</v>
      </c>
      <c r="C250" s="597"/>
      <c r="D250" s="384">
        <f>J20+F31+F40+F58+G73+G92+E107+E122+F139+E150+F162+E173+E191+D210+F222+F233+F244+E193</f>
        <v>11202656.94</v>
      </c>
    </row>
    <row r="253" spans="1:5" ht="15.75">
      <c r="A253" s="187" t="s">
        <v>701</v>
      </c>
      <c r="C253" s="187" t="s">
        <v>702</v>
      </c>
      <c r="E253" s="187" t="s">
        <v>703</v>
      </c>
    </row>
    <row r="255" spans="1:5" ht="15.75">
      <c r="A255" s="187" t="s">
        <v>13</v>
      </c>
      <c r="C255" s="187" t="s">
        <v>702</v>
      </c>
      <c r="E255" s="187" t="s">
        <v>704</v>
      </c>
    </row>
  </sheetData>
  <sheetProtection/>
  <mergeCells count="157">
    <mergeCell ref="B240:C240"/>
    <mergeCell ref="B242:C242"/>
    <mergeCell ref="B243:C243"/>
    <mergeCell ref="A244:C244"/>
    <mergeCell ref="B249:C249"/>
    <mergeCell ref="B250:C250"/>
    <mergeCell ref="B232:C232"/>
    <mergeCell ref="A233:C233"/>
    <mergeCell ref="A234:K234"/>
    <mergeCell ref="A238:A239"/>
    <mergeCell ref="B238:C239"/>
    <mergeCell ref="D238:D239"/>
    <mergeCell ref="E238:E239"/>
    <mergeCell ref="D226:D227"/>
    <mergeCell ref="E226:E227"/>
    <mergeCell ref="B228:C228"/>
    <mergeCell ref="B229:C229"/>
    <mergeCell ref="B230:C230"/>
    <mergeCell ref="B231:C231"/>
    <mergeCell ref="B219:C219"/>
    <mergeCell ref="B220:C220"/>
    <mergeCell ref="B221:C221"/>
    <mergeCell ref="A222:C222"/>
    <mergeCell ref="A226:A227"/>
    <mergeCell ref="B226:C227"/>
    <mergeCell ref="A212:K212"/>
    <mergeCell ref="A216:A217"/>
    <mergeCell ref="B216:C217"/>
    <mergeCell ref="D216:D217"/>
    <mergeCell ref="E216:E217"/>
    <mergeCell ref="B218:C218"/>
    <mergeCell ref="A191:B191"/>
    <mergeCell ref="A195:K195"/>
    <mergeCell ref="A199:A200"/>
    <mergeCell ref="B199:B200"/>
    <mergeCell ref="C199:C200"/>
    <mergeCell ref="A210:B210"/>
    <mergeCell ref="A193:B193"/>
    <mergeCell ref="A173:B173"/>
    <mergeCell ref="A174:K174"/>
    <mergeCell ref="A178:A179"/>
    <mergeCell ref="B178:B179"/>
    <mergeCell ref="C178:C179"/>
    <mergeCell ref="D178:D179"/>
    <mergeCell ref="A162:B162"/>
    <mergeCell ref="A164:K164"/>
    <mergeCell ref="A168:A169"/>
    <mergeCell ref="B168:B169"/>
    <mergeCell ref="C168:C169"/>
    <mergeCell ref="D168:D169"/>
    <mergeCell ref="A150:B150"/>
    <mergeCell ref="A152:K152"/>
    <mergeCell ref="A156:A157"/>
    <mergeCell ref="B156:B157"/>
    <mergeCell ref="C156:C157"/>
    <mergeCell ref="D156:D157"/>
    <mergeCell ref="E156:E157"/>
    <mergeCell ref="A139:B139"/>
    <mergeCell ref="A141:K141"/>
    <mergeCell ref="A145:A146"/>
    <mergeCell ref="B145:B146"/>
    <mergeCell ref="C145:C146"/>
    <mergeCell ref="D145:D146"/>
    <mergeCell ref="A122:B122"/>
    <mergeCell ref="A124:K124"/>
    <mergeCell ref="A126:K126"/>
    <mergeCell ref="A134:A135"/>
    <mergeCell ref="B134:B135"/>
    <mergeCell ref="C134:C135"/>
    <mergeCell ref="D134:D135"/>
    <mergeCell ref="E134:E135"/>
    <mergeCell ref="A107:B107"/>
    <mergeCell ref="A109:K109"/>
    <mergeCell ref="A111:K111"/>
    <mergeCell ref="A117:A118"/>
    <mergeCell ref="B117:B118"/>
    <mergeCell ref="C117:C118"/>
    <mergeCell ref="D117:D118"/>
    <mergeCell ref="A92:C92"/>
    <mergeCell ref="A94:K94"/>
    <mergeCell ref="A96:K96"/>
    <mergeCell ref="A97:E97"/>
    <mergeCell ref="A102:A103"/>
    <mergeCell ref="B102:B103"/>
    <mergeCell ref="C102:C103"/>
    <mergeCell ref="D102:D103"/>
    <mergeCell ref="B86:C86"/>
    <mergeCell ref="B87:C87"/>
    <mergeCell ref="B88:C88"/>
    <mergeCell ref="B89:C89"/>
    <mergeCell ref="B90:C90"/>
    <mergeCell ref="B91:C91"/>
    <mergeCell ref="A83:A84"/>
    <mergeCell ref="B83:C84"/>
    <mergeCell ref="D83:D84"/>
    <mergeCell ref="E83:E84"/>
    <mergeCell ref="F83:G83"/>
    <mergeCell ref="B85:C85"/>
    <mergeCell ref="B70:D70"/>
    <mergeCell ref="B71:D71"/>
    <mergeCell ref="B72:D72"/>
    <mergeCell ref="A73:D73"/>
    <mergeCell ref="A75:K75"/>
    <mergeCell ref="A77:K77"/>
    <mergeCell ref="A60:K60"/>
    <mergeCell ref="B61:F61"/>
    <mergeCell ref="A62:K62"/>
    <mergeCell ref="A68:A69"/>
    <mergeCell ref="B68:D69"/>
    <mergeCell ref="E68:E69"/>
    <mergeCell ref="F68:F69"/>
    <mergeCell ref="B53:D53"/>
    <mergeCell ref="B54:D54"/>
    <mergeCell ref="B55:D55"/>
    <mergeCell ref="B56:D56"/>
    <mergeCell ref="B57:D57"/>
    <mergeCell ref="A58:D58"/>
    <mergeCell ref="B47:D47"/>
    <mergeCell ref="B48:D48"/>
    <mergeCell ref="B49:D49"/>
    <mergeCell ref="B50:D50"/>
    <mergeCell ref="B51:D51"/>
    <mergeCell ref="B52:D52"/>
    <mergeCell ref="A40:B40"/>
    <mergeCell ref="B42:I42"/>
    <mergeCell ref="A44:A45"/>
    <mergeCell ref="B44:D45"/>
    <mergeCell ref="E44:E45"/>
    <mergeCell ref="B46:D46"/>
    <mergeCell ref="B33:F33"/>
    <mergeCell ref="A35:A36"/>
    <mergeCell ref="B35:B36"/>
    <mergeCell ref="C35:C36"/>
    <mergeCell ref="D35:D36"/>
    <mergeCell ref="E35:E36"/>
    <mergeCell ref="A26:A27"/>
    <mergeCell ref="B26:B27"/>
    <mergeCell ref="C26:C27"/>
    <mergeCell ref="D26:D27"/>
    <mergeCell ref="E26:E27"/>
    <mergeCell ref="A31:B31"/>
    <mergeCell ref="J12:J14"/>
    <mergeCell ref="K12:K14"/>
    <mergeCell ref="E13:G13"/>
    <mergeCell ref="A22:K22"/>
    <mergeCell ref="B23:K23"/>
    <mergeCell ref="B24:I24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rowBreaks count="7" manualBreakCount="7">
    <brk id="31" max="255" man="1"/>
    <brk id="60" max="10" man="1"/>
    <brk id="95" max="255" man="1"/>
    <brk id="125" max="255" man="1"/>
    <brk id="153" max="255" man="1"/>
    <brk id="194" max="10" man="1"/>
    <brk id="2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58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2" max="2" width="95.7109375" style="10" customWidth="1"/>
    <col min="3" max="3" width="31.421875" style="80" customWidth="1"/>
  </cols>
  <sheetData>
    <row r="1" spans="2:3" ht="26.25" customHeight="1">
      <c r="B1" s="452" t="s">
        <v>393</v>
      </c>
      <c r="C1" s="452"/>
    </row>
    <row r="2" spans="2:3" ht="10.5" customHeight="1">
      <c r="B2" s="49" t="s">
        <v>381</v>
      </c>
      <c r="C2" s="49"/>
    </row>
    <row r="3" spans="2:3" ht="21" customHeight="1">
      <c r="B3" s="453" t="s">
        <v>0</v>
      </c>
      <c r="C3" s="453"/>
    </row>
    <row r="4" spans="1:3" s="18" customFormat="1" ht="19.5" customHeight="1">
      <c r="A4" s="50" t="s">
        <v>137</v>
      </c>
      <c r="B4" s="71" t="s">
        <v>1</v>
      </c>
      <c r="C4" s="71" t="s">
        <v>2</v>
      </c>
    </row>
    <row r="5" spans="1:3" s="18" customFormat="1" ht="15" customHeight="1">
      <c r="A5" s="50">
        <v>1</v>
      </c>
      <c r="B5" s="37">
        <v>2</v>
      </c>
      <c r="C5" s="19">
        <v>3</v>
      </c>
    </row>
    <row r="6" spans="1:3" s="18" customFormat="1" ht="17.25" customHeight="1">
      <c r="A6" s="53" t="s">
        <v>434</v>
      </c>
      <c r="B6" s="72" t="s">
        <v>105</v>
      </c>
      <c r="C6" s="73">
        <f>C7+C10+C13+C16+C18+C20</f>
        <v>257288.19999999998</v>
      </c>
    </row>
    <row r="7" spans="1:3" s="18" customFormat="1" ht="31.5" customHeight="1">
      <c r="A7" s="53" t="s">
        <v>435</v>
      </c>
      <c r="B7" s="72" t="s">
        <v>136</v>
      </c>
      <c r="C7" s="74">
        <v>18373.9</v>
      </c>
    </row>
    <row r="8" spans="1:3" s="18" customFormat="1" ht="32.25" customHeight="1">
      <c r="A8" s="52"/>
      <c r="B8" s="72" t="s">
        <v>382</v>
      </c>
      <c r="C8" s="75">
        <v>12011.8</v>
      </c>
    </row>
    <row r="9" spans="1:3" s="18" customFormat="1" ht="18" customHeight="1">
      <c r="A9" s="52"/>
      <c r="B9" s="76" t="s">
        <v>383</v>
      </c>
      <c r="C9" s="74">
        <v>6846.64</v>
      </c>
    </row>
    <row r="10" spans="1:3" s="18" customFormat="1" ht="15" customHeight="1">
      <c r="A10" s="53" t="s">
        <v>436</v>
      </c>
      <c r="B10" s="72" t="s">
        <v>106</v>
      </c>
      <c r="C10" s="74">
        <f>C11+C12</f>
        <v>8394.5</v>
      </c>
    </row>
    <row r="11" spans="1:3" s="18" customFormat="1" ht="34.5" customHeight="1">
      <c r="A11" s="52"/>
      <c r="B11" s="72" t="s">
        <v>384</v>
      </c>
      <c r="C11" s="74">
        <v>6517.8</v>
      </c>
    </row>
    <row r="12" spans="1:3" s="18" customFormat="1" ht="22.5" customHeight="1">
      <c r="A12" s="52"/>
      <c r="B12" s="76" t="s">
        <v>383</v>
      </c>
      <c r="C12" s="74">
        <v>1876.7</v>
      </c>
    </row>
    <row r="13" spans="1:3" s="18" customFormat="1" ht="15.75">
      <c r="A13" s="53" t="s">
        <v>437</v>
      </c>
      <c r="B13" s="72" t="s">
        <v>385</v>
      </c>
      <c r="C13" s="74">
        <f>C14+C15</f>
        <v>12571.6</v>
      </c>
    </row>
    <row r="14" spans="1:3" s="18" customFormat="1" ht="38.25" customHeight="1">
      <c r="A14" s="52"/>
      <c r="B14" s="72" t="s">
        <v>386</v>
      </c>
      <c r="C14" s="74">
        <v>12113.5</v>
      </c>
    </row>
    <row r="15" spans="1:3" s="18" customFormat="1" ht="15.75">
      <c r="A15" s="52"/>
      <c r="B15" s="76" t="s">
        <v>383</v>
      </c>
      <c r="C15" s="74">
        <v>458.1</v>
      </c>
    </row>
    <row r="16" spans="1:3" s="18" customFormat="1" ht="27" customHeight="1">
      <c r="A16" s="53" t="s">
        <v>438</v>
      </c>
      <c r="B16" s="72" t="s">
        <v>138</v>
      </c>
      <c r="C16" s="74">
        <f>C17</f>
        <v>1119.4</v>
      </c>
    </row>
    <row r="17" spans="1:3" s="18" customFormat="1" ht="31.5">
      <c r="A17" s="52"/>
      <c r="B17" s="72" t="s">
        <v>387</v>
      </c>
      <c r="C17" s="74">
        <v>1119.4</v>
      </c>
    </row>
    <row r="18" spans="1:3" s="18" customFormat="1" ht="15.75">
      <c r="A18" s="53" t="s">
        <v>439</v>
      </c>
      <c r="B18" s="72" t="s">
        <v>139</v>
      </c>
      <c r="C18" s="74">
        <f>C19</f>
        <v>216828.8</v>
      </c>
    </row>
    <row r="19" spans="1:3" s="18" customFormat="1" ht="31.5">
      <c r="A19" s="52"/>
      <c r="B19" s="72" t="s">
        <v>387</v>
      </c>
      <c r="C19" s="74">
        <v>216828.8</v>
      </c>
    </row>
    <row r="20" spans="1:3" s="18" customFormat="1" ht="15.75">
      <c r="A20" s="53" t="s">
        <v>440</v>
      </c>
      <c r="B20" s="72" t="s">
        <v>388</v>
      </c>
      <c r="C20" s="74">
        <v>0</v>
      </c>
    </row>
    <row r="21" spans="1:3" s="18" customFormat="1" ht="17.25" customHeight="1">
      <c r="A21" s="53" t="s">
        <v>441</v>
      </c>
      <c r="B21" s="72" t="s">
        <v>107</v>
      </c>
      <c r="C21" s="73">
        <f>C22+C26+C27</f>
        <v>45679.200000000004</v>
      </c>
    </row>
    <row r="22" spans="1:3" s="18" customFormat="1" ht="15" customHeight="1">
      <c r="A22" s="53" t="s">
        <v>442</v>
      </c>
      <c r="B22" s="72" t="s">
        <v>140</v>
      </c>
      <c r="C22" s="74">
        <f>C23+C24</f>
        <v>12165.2</v>
      </c>
    </row>
    <row r="23" spans="1:3" s="18" customFormat="1" ht="15" customHeight="1">
      <c r="A23" s="53"/>
      <c r="B23" s="72" t="s">
        <v>141</v>
      </c>
      <c r="C23" s="74">
        <v>8165.2</v>
      </c>
    </row>
    <row r="24" spans="1:3" s="18" customFormat="1" ht="15" customHeight="1">
      <c r="A24" s="52"/>
      <c r="B24" s="72" t="s">
        <v>108</v>
      </c>
      <c r="C24" s="74">
        <v>4000</v>
      </c>
    </row>
    <row r="25" spans="1:3" s="18" customFormat="1" ht="15" customHeight="1">
      <c r="A25" s="52"/>
      <c r="B25" s="72" t="s">
        <v>109</v>
      </c>
      <c r="C25" s="74">
        <v>0</v>
      </c>
    </row>
    <row r="26" spans="1:3" s="18" customFormat="1" ht="15" customHeight="1">
      <c r="A26" s="53" t="s">
        <v>443</v>
      </c>
      <c r="B26" s="72" t="s">
        <v>110</v>
      </c>
      <c r="C26" s="74">
        <v>33470.4</v>
      </c>
    </row>
    <row r="27" spans="1:3" s="18" customFormat="1" ht="15" customHeight="1">
      <c r="A27" s="53" t="s">
        <v>444</v>
      </c>
      <c r="B27" s="72" t="s">
        <v>142</v>
      </c>
      <c r="C27" s="74">
        <f>C29+C41</f>
        <v>43.6</v>
      </c>
    </row>
    <row r="28" spans="1:3" s="18" customFormat="1" ht="15" customHeight="1">
      <c r="A28" s="52"/>
      <c r="B28" s="72" t="s">
        <v>389</v>
      </c>
      <c r="C28" s="74"/>
    </row>
    <row r="29" spans="1:3" s="18" customFormat="1" ht="31.5">
      <c r="A29" s="52"/>
      <c r="B29" s="72" t="s">
        <v>445</v>
      </c>
      <c r="C29" s="74">
        <v>43.6</v>
      </c>
    </row>
    <row r="30" spans="1:3" s="18" customFormat="1" ht="15" customHeight="1">
      <c r="A30" s="52"/>
      <c r="B30" s="72" t="s">
        <v>143</v>
      </c>
      <c r="C30" s="74">
        <v>0</v>
      </c>
    </row>
    <row r="31" spans="1:3" s="18" customFormat="1" ht="15" customHeight="1">
      <c r="A31" s="52"/>
      <c r="B31" s="72" t="s">
        <v>6</v>
      </c>
      <c r="C31" s="74">
        <v>0</v>
      </c>
    </row>
    <row r="32" spans="1:3" s="18" customFormat="1" ht="15" customHeight="1">
      <c r="A32" s="52"/>
      <c r="B32" s="72" t="s">
        <v>7</v>
      </c>
      <c r="C32" s="74">
        <v>2.1</v>
      </c>
    </row>
    <row r="33" spans="1:3" s="18" customFormat="1" ht="15" customHeight="1">
      <c r="A33" s="52"/>
      <c r="B33" s="72" t="s">
        <v>111</v>
      </c>
      <c r="C33" s="74">
        <v>0</v>
      </c>
    </row>
    <row r="34" spans="1:3" s="18" customFormat="1" ht="15" customHeight="1">
      <c r="A34" s="52"/>
      <c r="B34" s="72" t="s">
        <v>112</v>
      </c>
      <c r="C34" s="74">
        <v>32.7</v>
      </c>
    </row>
    <row r="35" spans="1:3" s="18" customFormat="1" ht="15" customHeight="1">
      <c r="A35" s="52"/>
      <c r="B35" s="72" t="s">
        <v>113</v>
      </c>
      <c r="C35" s="74">
        <v>0</v>
      </c>
    </row>
    <row r="36" spans="1:3" s="18" customFormat="1" ht="15" customHeight="1">
      <c r="A36" s="52"/>
      <c r="B36" s="72" t="s">
        <v>114</v>
      </c>
      <c r="C36" s="74">
        <v>0</v>
      </c>
    </row>
    <row r="37" spans="1:3" s="18" customFormat="1" ht="15" customHeight="1">
      <c r="A37" s="52"/>
      <c r="B37" s="72" t="s">
        <v>115</v>
      </c>
      <c r="C37" s="74">
        <v>0</v>
      </c>
    </row>
    <row r="38" spans="1:3" s="18" customFormat="1" ht="15" customHeight="1">
      <c r="A38" s="52"/>
      <c r="B38" s="72" t="s">
        <v>116</v>
      </c>
      <c r="C38" s="74">
        <v>0</v>
      </c>
    </row>
    <row r="39" spans="1:3" s="18" customFormat="1" ht="15" customHeight="1">
      <c r="A39" s="52"/>
      <c r="B39" s="72" t="s">
        <v>117</v>
      </c>
      <c r="C39" s="74">
        <v>0</v>
      </c>
    </row>
    <row r="40" spans="1:3" s="18" customFormat="1" ht="15" customHeight="1">
      <c r="A40" s="52"/>
      <c r="B40" s="72" t="s">
        <v>144</v>
      </c>
      <c r="C40" s="74">
        <v>0</v>
      </c>
    </row>
    <row r="41" spans="1:3" s="18" customFormat="1" ht="31.5">
      <c r="A41" s="52"/>
      <c r="B41" s="72" t="s">
        <v>145</v>
      </c>
      <c r="C41" s="74">
        <f>SUM(C42:C53)</f>
        <v>0</v>
      </c>
    </row>
    <row r="42" spans="1:3" s="18" customFormat="1" ht="15" customHeight="1">
      <c r="A42" s="52"/>
      <c r="B42" s="72" t="s">
        <v>146</v>
      </c>
      <c r="C42" s="74">
        <v>0</v>
      </c>
    </row>
    <row r="43" spans="1:3" s="18" customFormat="1" ht="15" customHeight="1">
      <c r="A43" s="52"/>
      <c r="B43" s="72" t="s">
        <v>6</v>
      </c>
      <c r="C43" s="74">
        <v>0</v>
      </c>
    </row>
    <row r="44" spans="1:3" s="18" customFormat="1" ht="15" customHeight="1">
      <c r="A44" s="52"/>
      <c r="B44" s="72" t="s">
        <v>7</v>
      </c>
      <c r="C44" s="74">
        <v>0</v>
      </c>
    </row>
    <row r="45" spans="1:3" s="18" customFormat="1" ht="15" customHeight="1">
      <c r="A45" s="52"/>
      <c r="B45" s="72" t="s">
        <v>111</v>
      </c>
      <c r="C45" s="74">
        <v>0</v>
      </c>
    </row>
    <row r="46" spans="1:3" s="18" customFormat="1" ht="15" customHeight="1">
      <c r="A46" s="52"/>
      <c r="B46" s="72" t="s">
        <v>112</v>
      </c>
      <c r="C46" s="74">
        <v>0</v>
      </c>
    </row>
    <row r="47" spans="1:3" s="18" customFormat="1" ht="15" customHeight="1">
      <c r="A47" s="52"/>
      <c r="B47" s="72" t="s">
        <v>113</v>
      </c>
      <c r="C47" s="74">
        <v>0</v>
      </c>
    </row>
    <row r="48" spans="1:3" s="18" customFormat="1" ht="15" customHeight="1">
      <c r="A48" s="52"/>
      <c r="B48" s="72" t="s">
        <v>114</v>
      </c>
      <c r="C48" s="74">
        <v>0</v>
      </c>
    </row>
    <row r="49" spans="1:3" s="18" customFormat="1" ht="15" customHeight="1">
      <c r="A49" s="52"/>
      <c r="B49" s="72" t="s">
        <v>115</v>
      </c>
      <c r="C49" s="74">
        <v>0</v>
      </c>
    </row>
    <row r="50" spans="1:3" s="18" customFormat="1" ht="15" customHeight="1">
      <c r="A50" s="52"/>
      <c r="B50" s="72" t="s">
        <v>118</v>
      </c>
      <c r="C50" s="74">
        <v>0</v>
      </c>
    </row>
    <row r="51" spans="1:3" s="18" customFormat="1" ht="15" customHeight="1">
      <c r="A51" s="52"/>
      <c r="B51" s="72" t="s">
        <v>8</v>
      </c>
      <c r="C51" s="74">
        <v>0</v>
      </c>
    </row>
    <row r="52" spans="1:3" s="18" customFormat="1" ht="15" customHeight="1">
      <c r="A52" s="52"/>
      <c r="B52" s="72" t="s">
        <v>147</v>
      </c>
      <c r="C52" s="74">
        <v>0</v>
      </c>
    </row>
    <row r="53" spans="1:3" s="18" customFormat="1" ht="15" customHeight="1">
      <c r="A53" s="52"/>
      <c r="B53" s="72" t="s">
        <v>446</v>
      </c>
      <c r="C53" s="74">
        <v>0</v>
      </c>
    </row>
    <row r="54" spans="1:3" s="18" customFormat="1" ht="31.5">
      <c r="A54" s="52"/>
      <c r="B54" s="72" t="s">
        <v>148</v>
      </c>
      <c r="C54" s="74">
        <f>SUM(C55:C64)</f>
        <v>0</v>
      </c>
    </row>
    <row r="55" spans="1:3" s="18" customFormat="1" ht="31.5">
      <c r="A55" s="52"/>
      <c r="B55" s="72" t="s">
        <v>390</v>
      </c>
      <c r="C55" s="74">
        <v>0</v>
      </c>
    </row>
    <row r="56" spans="1:3" s="18" customFormat="1" ht="15.75">
      <c r="A56" s="52"/>
      <c r="B56" s="72" t="s">
        <v>6</v>
      </c>
      <c r="C56" s="74">
        <v>0</v>
      </c>
    </row>
    <row r="57" spans="1:3" s="18" customFormat="1" ht="15" customHeight="1">
      <c r="A57" s="52"/>
      <c r="B57" s="72" t="s">
        <v>7</v>
      </c>
      <c r="C57" s="74">
        <v>0</v>
      </c>
    </row>
    <row r="58" spans="1:3" s="18" customFormat="1" ht="15" customHeight="1">
      <c r="A58" s="52"/>
      <c r="B58" s="72" t="s">
        <v>149</v>
      </c>
      <c r="C58" s="74">
        <v>0</v>
      </c>
    </row>
    <row r="59" spans="1:3" s="18" customFormat="1" ht="15.75">
      <c r="A59" s="52"/>
      <c r="B59" s="72" t="s">
        <v>150</v>
      </c>
      <c r="C59" s="74">
        <v>0</v>
      </c>
    </row>
    <row r="60" spans="1:3" s="18" customFormat="1" ht="15" customHeight="1">
      <c r="A60" s="52"/>
      <c r="B60" s="72" t="s">
        <v>151</v>
      </c>
      <c r="C60" s="75">
        <v>0</v>
      </c>
    </row>
    <row r="61" spans="1:3" s="18" customFormat="1" ht="15" customHeight="1">
      <c r="A61" s="52"/>
      <c r="B61" s="72" t="s">
        <v>152</v>
      </c>
      <c r="C61" s="75">
        <v>0</v>
      </c>
    </row>
    <row r="62" spans="1:3" s="18" customFormat="1" ht="15.75">
      <c r="A62" s="52"/>
      <c r="B62" s="72" t="s">
        <v>153</v>
      </c>
      <c r="C62" s="75">
        <v>0</v>
      </c>
    </row>
    <row r="63" spans="1:3" s="18" customFormat="1" ht="15" customHeight="1">
      <c r="A63" s="52"/>
      <c r="B63" s="72" t="s">
        <v>154</v>
      </c>
      <c r="C63" s="75">
        <v>0</v>
      </c>
    </row>
    <row r="64" spans="1:3" s="18" customFormat="1" ht="15" customHeight="1">
      <c r="A64" s="52"/>
      <c r="B64" s="72" t="s">
        <v>8</v>
      </c>
      <c r="C64" s="75">
        <v>0</v>
      </c>
    </row>
    <row r="65" spans="1:3" s="18" customFormat="1" ht="15" customHeight="1">
      <c r="A65" s="52"/>
      <c r="B65" s="72" t="s">
        <v>155</v>
      </c>
      <c r="C65" s="75">
        <v>0</v>
      </c>
    </row>
    <row r="66" spans="1:3" s="18" customFormat="1" ht="15" customHeight="1">
      <c r="A66" s="53" t="s">
        <v>447</v>
      </c>
      <c r="B66" s="72" t="s">
        <v>119</v>
      </c>
      <c r="C66" s="77">
        <f>C67+C68+C69</f>
        <v>2040.7</v>
      </c>
    </row>
    <row r="67" spans="1:3" s="18" customFormat="1" ht="15" customHeight="1">
      <c r="A67" s="53" t="s">
        <v>448</v>
      </c>
      <c r="B67" s="72" t="s">
        <v>391</v>
      </c>
      <c r="C67" s="75">
        <v>0</v>
      </c>
    </row>
    <row r="68" spans="1:3" s="18" customFormat="1" ht="15" customHeight="1">
      <c r="A68" s="53"/>
      <c r="B68" s="72" t="s">
        <v>392</v>
      </c>
      <c r="C68" s="75">
        <v>1916.7</v>
      </c>
    </row>
    <row r="69" spans="1:3" s="18" customFormat="1" ht="15" customHeight="1">
      <c r="A69" s="53" t="s">
        <v>449</v>
      </c>
      <c r="B69" s="72" t="s">
        <v>156</v>
      </c>
      <c r="C69" s="75">
        <f>C70+C85</f>
        <v>124</v>
      </c>
    </row>
    <row r="70" spans="1:3" s="18" customFormat="1" ht="31.5">
      <c r="A70" s="53"/>
      <c r="B70" s="72" t="s">
        <v>450</v>
      </c>
      <c r="C70" s="77">
        <f>SUM(C71:C84)</f>
        <v>121</v>
      </c>
    </row>
    <row r="71" spans="1:3" s="18" customFormat="1" ht="15" customHeight="1">
      <c r="A71" s="53"/>
      <c r="B71" s="72" t="s">
        <v>157</v>
      </c>
      <c r="C71" s="75"/>
    </row>
    <row r="72" spans="1:3" s="18" customFormat="1" ht="15.75">
      <c r="A72" s="53"/>
      <c r="B72" s="72" t="s">
        <v>158</v>
      </c>
      <c r="C72" s="75"/>
    </row>
    <row r="73" spans="1:3" s="18" customFormat="1" ht="15" customHeight="1">
      <c r="A73" s="53"/>
      <c r="B73" s="72" t="s">
        <v>120</v>
      </c>
      <c r="C73" s="75">
        <v>0</v>
      </c>
    </row>
    <row r="74" spans="1:3" s="18" customFormat="1" ht="15" customHeight="1">
      <c r="A74" s="52"/>
      <c r="B74" s="72" t="s">
        <v>121</v>
      </c>
      <c r="C74" s="75">
        <v>0</v>
      </c>
    </row>
    <row r="75" spans="1:3" s="18" customFormat="1" ht="15" customHeight="1">
      <c r="A75" s="52"/>
      <c r="B75" s="72" t="s">
        <v>122</v>
      </c>
      <c r="C75" s="75">
        <v>0</v>
      </c>
    </row>
    <row r="76" spans="1:3" s="18" customFormat="1" ht="15" customHeight="1">
      <c r="A76" s="52"/>
      <c r="B76" s="72" t="s">
        <v>123</v>
      </c>
      <c r="C76" s="75">
        <v>0</v>
      </c>
    </row>
    <row r="77" spans="1:3" s="18" customFormat="1" ht="15" customHeight="1">
      <c r="A77" s="52"/>
      <c r="B77" s="72" t="s">
        <v>124</v>
      </c>
      <c r="C77" s="75">
        <v>0</v>
      </c>
    </row>
    <row r="78" spans="1:3" s="18" customFormat="1" ht="15" customHeight="1">
      <c r="A78" s="52"/>
      <c r="B78" s="72" t="s">
        <v>125</v>
      </c>
      <c r="C78" s="75">
        <v>0</v>
      </c>
    </row>
    <row r="79" spans="1:3" s="18" customFormat="1" ht="15" customHeight="1">
      <c r="A79" s="52"/>
      <c r="B79" s="72" t="s">
        <v>126</v>
      </c>
      <c r="C79" s="75">
        <v>0</v>
      </c>
    </row>
    <row r="80" spans="1:3" s="18" customFormat="1" ht="15" customHeight="1">
      <c r="A80" s="52"/>
      <c r="B80" s="72" t="s">
        <v>451</v>
      </c>
      <c r="C80" s="74">
        <v>0</v>
      </c>
    </row>
    <row r="81" spans="1:3" s="18" customFormat="1" ht="15" customHeight="1">
      <c r="A81" s="52"/>
      <c r="B81" s="72" t="s">
        <v>127</v>
      </c>
      <c r="C81" s="75">
        <v>0</v>
      </c>
    </row>
    <row r="82" spans="1:3" s="18" customFormat="1" ht="15" customHeight="1">
      <c r="A82" s="52"/>
      <c r="B82" s="72" t="s">
        <v>128</v>
      </c>
      <c r="C82" s="75">
        <v>0</v>
      </c>
    </row>
    <row r="83" spans="1:3" s="18" customFormat="1" ht="15" customHeight="1">
      <c r="A83" s="52"/>
      <c r="B83" s="72" t="s">
        <v>452</v>
      </c>
      <c r="C83" s="75"/>
    </row>
    <row r="84" spans="1:3" s="18" customFormat="1" ht="15" customHeight="1">
      <c r="A84" s="52"/>
      <c r="B84" s="72" t="s">
        <v>129</v>
      </c>
      <c r="C84" s="75">
        <v>121</v>
      </c>
    </row>
    <row r="85" spans="1:3" s="18" customFormat="1" ht="32.25" customHeight="1">
      <c r="A85" s="54"/>
      <c r="B85" s="72" t="s">
        <v>130</v>
      </c>
      <c r="C85" s="75">
        <f>SUM(C86:C99)</f>
        <v>3</v>
      </c>
    </row>
    <row r="86" spans="1:3" s="18" customFormat="1" ht="15" customHeight="1">
      <c r="A86" s="54"/>
      <c r="B86" s="72" t="s">
        <v>157</v>
      </c>
      <c r="C86" s="75"/>
    </row>
    <row r="87" spans="1:3" s="18" customFormat="1" ht="15" customHeight="1">
      <c r="A87" s="54"/>
      <c r="B87" s="72" t="s">
        <v>158</v>
      </c>
      <c r="C87" s="75"/>
    </row>
    <row r="88" spans="1:3" s="18" customFormat="1" ht="15" customHeight="1">
      <c r="A88" s="54"/>
      <c r="B88" s="72" t="s">
        <v>120</v>
      </c>
      <c r="C88" s="75">
        <v>3</v>
      </c>
    </row>
    <row r="89" spans="1:3" s="18" customFormat="1" ht="15" customHeight="1">
      <c r="A89" s="54"/>
      <c r="B89" s="72" t="s">
        <v>121</v>
      </c>
      <c r="C89" s="75">
        <v>0</v>
      </c>
    </row>
    <row r="90" spans="1:3" s="18" customFormat="1" ht="15" customHeight="1">
      <c r="A90" s="54"/>
      <c r="B90" s="72" t="s">
        <v>131</v>
      </c>
      <c r="C90" s="75">
        <v>0</v>
      </c>
    </row>
    <row r="91" spans="1:3" s="18" customFormat="1" ht="15" customHeight="1">
      <c r="A91" s="54"/>
      <c r="B91" s="72" t="s">
        <v>123</v>
      </c>
      <c r="C91" s="75">
        <v>0</v>
      </c>
    </row>
    <row r="92" spans="1:3" s="18" customFormat="1" ht="15" customHeight="1">
      <c r="A92" s="54"/>
      <c r="B92" s="72" t="s">
        <v>124</v>
      </c>
      <c r="C92" s="75"/>
    </row>
    <row r="93" spans="1:3" s="18" customFormat="1" ht="15" customHeight="1">
      <c r="A93" s="54"/>
      <c r="B93" s="72" t="s">
        <v>125</v>
      </c>
      <c r="C93" s="75">
        <v>0</v>
      </c>
    </row>
    <row r="94" spans="1:3" s="18" customFormat="1" ht="15" customHeight="1">
      <c r="A94" s="54"/>
      <c r="B94" s="72" t="s">
        <v>126</v>
      </c>
      <c r="C94" s="75">
        <v>0</v>
      </c>
    </row>
    <row r="95" spans="1:3" s="18" customFormat="1" ht="15" customHeight="1">
      <c r="A95" s="52"/>
      <c r="B95" s="72" t="s">
        <v>451</v>
      </c>
      <c r="C95" s="74">
        <v>0</v>
      </c>
    </row>
    <row r="96" spans="1:3" ht="15" customHeight="1">
      <c r="A96" s="54"/>
      <c r="B96" s="72" t="s">
        <v>127</v>
      </c>
      <c r="C96" s="78"/>
    </row>
    <row r="97" spans="1:3" ht="15" customHeight="1">
      <c r="A97" s="54"/>
      <c r="B97" s="72" t="s">
        <v>128</v>
      </c>
      <c r="C97" s="78">
        <v>0</v>
      </c>
    </row>
    <row r="98" spans="1:3" ht="15" customHeight="1">
      <c r="A98" s="54"/>
      <c r="B98" s="72" t="s">
        <v>452</v>
      </c>
      <c r="C98" s="78"/>
    </row>
    <row r="99" spans="1:3" ht="15" customHeight="1">
      <c r="A99" s="54"/>
      <c r="B99" s="72" t="s">
        <v>129</v>
      </c>
      <c r="C99" s="78">
        <v>0</v>
      </c>
    </row>
    <row r="100" spans="1:3" ht="32.25" customHeight="1">
      <c r="A100" s="54"/>
      <c r="B100" s="72" t="s">
        <v>160</v>
      </c>
      <c r="C100" s="78">
        <f>SUM(C101:C114)</f>
        <v>0</v>
      </c>
    </row>
    <row r="101" spans="1:3" ht="15" customHeight="1">
      <c r="A101" s="54"/>
      <c r="B101" s="72" t="s">
        <v>157</v>
      </c>
      <c r="C101" s="78">
        <v>0</v>
      </c>
    </row>
    <row r="102" spans="1:3" ht="15" customHeight="1">
      <c r="A102" s="54"/>
      <c r="B102" s="72" t="s">
        <v>158</v>
      </c>
      <c r="C102" s="78">
        <v>0</v>
      </c>
    </row>
    <row r="103" spans="1:3" ht="15" customHeight="1">
      <c r="A103" s="54"/>
      <c r="B103" s="72" t="s">
        <v>120</v>
      </c>
      <c r="C103" s="78">
        <v>0</v>
      </c>
    </row>
    <row r="104" spans="1:3" ht="15" customHeight="1">
      <c r="A104" s="54"/>
      <c r="B104" s="72" t="s">
        <v>121</v>
      </c>
      <c r="C104" s="78">
        <v>0</v>
      </c>
    </row>
    <row r="105" spans="1:3" ht="15" customHeight="1">
      <c r="A105" s="54"/>
      <c r="B105" s="72" t="s">
        <v>131</v>
      </c>
      <c r="C105" s="78">
        <v>0</v>
      </c>
    </row>
    <row r="106" spans="1:3" ht="15" customHeight="1">
      <c r="A106" s="54"/>
      <c r="B106" s="72" t="s">
        <v>123</v>
      </c>
      <c r="C106" s="78">
        <v>0</v>
      </c>
    </row>
    <row r="107" spans="1:3" ht="15" customHeight="1">
      <c r="A107" s="54"/>
      <c r="B107" s="72" t="s">
        <v>124</v>
      </c>
      <c r="C107" s="78">
        <v>0</v>
      </c>
    </row>
    <row r="108" spans="1:3" ht="15" customHeight="1">
      <c r="A108" s="54"/>
      <c r="B108" s="72" t="s">
        <v>125</v>
      </c>
      <c r="C108" s="79">
        <v>0</v>
      </c>
    </row>
    <row r="109" spans="1:3" ht="15" customHeight="1">
      <c r="A109" s="54"/>
      <c r="B109" s="72" t="s">
        <v>126</v>
      </c>
      <c r="C109" s="79">
        <v>0</v>
      </c>
    </row>
    <row r="110" spans="1:3" ht="15" customHeight="1">
      <c r="A110" s="54"/>
      <c r="B110" s="72" t="s">
        <v>127</v>
      </c>
      <c r="C110" s="79">
        <v>0</v>
      </c>
    </row>
    <row r="111" spans="1:3" ht="19.5" customHeight="1">
      <c r="A111" s="54"/>
      <c r="B111" s="72" t="s">
        <v>128</v>
      </c>
      <c r="C111" s="79">
        <v>0</v>
      </c>
    </row>
    <row r="112" spans="1:3" ht="23.25" customHeight="1">
      <c r="A112" s="54"/>
      <c r="B112" s="72" t="s">
        <v>159</v>
      </c>
      <c r="C112" s="79">
        <v>0</v>
      </c>
    </row>
    <row r="113" spans="1:3" ht="20.25" customHeight="1">
      <c r="A113" s="54"/>
      <c r="B113" s="72" t="s">
        <v>129</v>
      </c>
      <c r="C113" s="79">
        <v>0</v>
      </c>
    </row>
    <row r="114" spans="1:3" ht="20.25" customHeight="1">
      <c r="A114" s="54"/>
      <c r="B114" s="72" t="s">
        <v>453</v>
      </c>
      <c r="C114" s="79">
        <v>0</v>
      </c>
    </row>
    <row r="115" spans="1:3" ht="15.75">
      <c r="A115" s="53" t="s">
        <v>454</v>
      </c>
      <c r="B115" s="72" t="s">
        <v>455</v>
      </c>
      <c r="C115" s="79">
        <f>C130+C144+C158</f>
        <v>0</v>
      </c>
    </row>
    <row r="116" spans="1:3" ht="35.25" customHeight="1">
      <c r="A116" s="54"/>
      <c r="B116" s="72" t="s">
        <v>456</v>
      </c>
      <c r="C116" s="79">
        <f>SUM(C117:C129)</f>
        <v>0</v>
      </c>
    </row>
    <row r="117" spans="1:3" ht="18" customHeight="1">
      <c r="A117" s="54"/>
      <c r="B117" s="72" t="s">
        <v>157</v>
      </c>
      <c r="C117" s="79">
        <v>0</v>
      </c>
    </row>
    <row r="118" spans="1:3" ht="18" customHeight="1">
      <c r="A118" s="54"/>
      <c r="B118" s="72" t="s">
        <v>158</v>
      </c>
      <c r="C118" s="79">
        <v>0</v>
      </c>
    </row>
    <row r="119" spans="1:3" ht="18" customHeight="1">
      <c r="A119" s="54"/>
      <c r="B119" s="72" t="s">
        <v>120</v>
      </c>
      <c r="C119" s="79">
        <v>0</v>
      </c>
    </row>
    <row r="120" spans="1:3" ht="18" customHeight="1">
      <c r="A120" s="54"/>
      <c r="B120" s="72" t="s">
        <v>121</v>
      </c>
      <c r="C120" s="79">
        <v>0</v>
      </c>
    </row>
    <row r="121" spans="1:3" ht="18" customHeight="1">
      <c r="A121" s="54"/>
      <c r="B121" s="72" t="s">
        <v>131</v>
      </c>
      <c r="C121" s="79">
        <v>0</v>
      </c>
    </row>
    <row r="122" spans="1:3" ht="18" customHeight="1">
      <c r="A122" s="54"/>
      <c r="B122" s="72" t="s">
        <v>123</v>
      </c>
      <c r="C122" s="79">
        <v>0</v>
      </c>
    </row>
    <row r="123" spans="1:3" ht="18" customHeight="1">
      <c r="A123" s="54"/>
      <c r="B123" s="72" t="s">
        <v>124</v>
      </c>
      <c r="C123" s="79">
        <v>0</v>
      </c>
    </row>
    <row r="124" spans="1:3" ht="18" customHeight="1">
      <c r="A124" s="54"/>
      <c r="B124" s="72" t="s">
        <v>125</v>
      </c>
      <c r="C124" s="79">
        <v>0</v>
      </c>
    </row>
    <row r="125" spans="1:3" ht="18" customHeight="1">
      <c r="A125" s="54"/>
      <c r="B125" s="72" t="s">
        <v>126</v>
      </c>
      <c r="C125" s="79">
        <v>0</v>
      </c>
    </row>
    <row r="126" spans="1:3" ht="18" customHeight="1">
      <c r="A126" s="54"/>
      <c r="B126" s="72" t="s">
        <v>127</v>
      </c>
      <c r="C126" s="79">
        <v>0</v>
      </c>
    </row>
    <row r="127" spans="1:3" ht="18" customHeight="1">
      <c r="A127" s="54"/>
      <c r="B127" s="72" t="s">
        <v>128</v>
      </c>
      <c r="C127" s="79">
        <v>0</v>
      </c>
    </row>
    <row r="128" spans="1:3" ht="18" customHeight="1">
      <c r="A128" s="54"/>
      <c r="B128" s="72" t="s">
        <v>159</v>
      </c>
      <c r="C128" s="79">
        <v>0</v>
      </c>
    </row>
    <row r="129" spans="1:3" ht="18" customHeight="1">
      <c r="A129" s="54"/>
      <c r="B129" s="72" t="s">
        <v>129</v>
      </c>
      <c r="C129" s="79">
        <v>0</v>
      </c>
    </row>
    <row r="130" spans="1:3" ht="35.25" customHeight="1">
      <c r="A130" s="54"/>
      <c r="B130" s="72" t="s">
        <v>457</v>
      </c>
      <c r="C130" s="79">
        <f>SUM(C131:C143)</f>
        <v>0</v>
      </c>
    </row>
    <row r="131" spans="1:3" ht="18" customHeight="1">
      <c r="A131" s="54"/>
      <c r="B131" s="72" t="s">
        <v>157</v>
      </c>
      <c r="C131" s="79">
        <v>0</v>
      </c>
    </row>
    <row r="132" spans="1:3" ht="18" customHeight="1">
      <c r="A132" s="54"/>
      <c r="B132" s="72" t="s">
        <v>158</v>
      </c>
      <c r="C132" s="79">
        <v>0</v>
      </c>
    </row>
    <row r="133" spans="1:3" ht="18" customHeight="1">
      <c r="A133" s="54"/>
      <c r="B133" s="72" t="s">
        <v>120</v>
      </c>
      <c r="C133" s="79">
        <v>0</v>
      </c>
    </row>
    <row r="134" spans="1:3" ht="18" customHeight="1">
      <c r="A134" s="54"/>
      <c r="B134" s="72" t="s">
        <v>121</v>
      </c>
      <c r="C134" s="79">
        <v>0</v>
      </c>
    </row>
    <row r="135" spans="1:3" ht="18" customHeight="1">
      <c r="A135" s="54"/>
      <c r="B135" s="72" t="s">
        <v>131</v>
      </c>
      <c r="C135" s="79">
        <v>0</v>
      </c>
    </row>
    <row r="136" spans="1:3" ht="18" customHeight="1">
      <c r="A136" s="54"/>
      <c r="B136" s="72" t="s">
        <v>123</v>
      </c>
      <c r="C136" s="79">
        <v>0</v>
      </c>
    </row>
    <row r="137" spans="1:3" ht="18" customHeight="1">
      <c r="A137" s="54"/>
      <c r="B137" s="72" t="s">
        <v>124</v>
      </c>
      <c r="C137" s="79">
        <v>0</v>
      </c>
    </row>
    <row r="138" spans="1:3" ht="18" customHeight="1">
      <c r="A138" s="54"/>
      <c r="B138" s="72" t="s">
        <v>125</v>
      </c>
      <c r="C138" s="79">
        <v>0</v>
      </c>
    </row>
    <row r="139" spans="1:3" ht="18" customHeight="1">
      <c r="A139" s="54"/>
      <c r="B139" s="72" t="s">
        <v>126</v>
      </c>
      <c r="C139" s="79">
        <v>0</v>
      </c>
    </row>
    <row r="140" spans="1:3" ht="18" customHeight="1">
      <c r="A140" s="54"/>
      <c r="B140" s="72" t="s">
        <v>127</v>
      </c>
      <c r="C140" s="79">
        <v>0</v>
      </c>
    </row>
    <row r="141" spans="1:3" ht="18" customHeight="1">
      <c r="A141" s="54"/>
      <c r="B141" s="72" t="s">
        <v>128</v>
      </c>
      <c r="C141" s="79">
        <v>0</v>
      </c>
    </row>
    <row r="142" spans="1:3" ht="18" customHeight="1">
      <c r="A142" s="54"/>
      <c r="B142" s="72" t="s">
        <v>159</v>
      </c>
      <c r="C142" s="79">
        <v>0</v>
      </c>
    </row>
    <row r="143" spans="1:3" ht="18" customHeight="1">
      <c r="A143" s="54"/>
      <c r="B143" s="72" t="s">
        <v>129</v>
      </c>
      <c r="C143" s="79">
        <v>0</v>
      </c>
    </row>
    <row r="144" spans="1:3" ht="32.25" customHeight="1">
      <c r="A144" s="54"/>
      <c r="B144" s="72" t="s">
        <v>161</v>
      </c>
      <c r="C144" s="79">
        <f>SUM(C145:C157)</f>
        <v>0</v>
      </c>
    </row>
    <row r="145" spans="1:3" ht="18" customHeight="1">
      <c r="A145" s="54"/>
      <c r="B145" s="72" t="s">
        <v>157</v>
      </c>
      <c r="C145" s="79">
        <v>0</v>
      </c>
    </row>
    <row r="146" spans="1:3" ht="18" customHeight="1">
      <c r="A146" s="54"/>
      <c r="B146" s="72" t="s">
        <v>158</v>
      </c>
      <c r="C146" s="79">
        <v>0</v>
      </c>
    </row>
    <row r="147" spans="1:3" ht="18" customHeight="1">
      <c r="A147" s="54"/>
      <c r="B147" s="72" t="s">
        <v>120</v>
      </c>
      <c r="C147" s="79">
        <v>0</v>
      </c>
    </row>
    <row r="148" spans="1:3" ht="18" customHeight="1">
      <c r="A148" s="54"/>
      <c r="B148" s="72" t="s">
        <v>121</v>
      </c>
      <c r="C148" s="79">
        <v>0</v>
      </c>
    </row>
    <row r="149" spans="1:3" ht="18" customHeight="1">
      <c r="A149" s="54"/>
      <c r="B149" s="72" t="s">
        <v>131</v>
      </c>
      <c r="C149" s="79">
        <v>0</v>
      </c>
    </row>
    <row r="150" spans="1:3" ht="18" customHeight="1">
      <c r="A150" s="54"/>
      <c r="B150" s="72" t="s">
        <v>123</v>
      </c>
      <c r="C150" s="79">
        <v>0</v>
      </c>
    </row>
    <row r="151" spans="1:3" ht="18" customHeight="1">
      <c r="A151" s="54"/>
      <c r="B151" s="72" t="s">
        <v>124</v>
      </c>
      <c r="C151" s="79">
        <v>0</v>
      </c>
    </row>
    <row r="152" spans="1:3" ht="18" customHeight="1">
      <c r="A152" s="54"/>
      <c r="B152" s="72" t="s">
        <v>125</v>
      </c>
      <c r="C152" s="79">
        <v>0</v>
      </c>
    </row>
    <row r="153" spans="1:3" ht="18" customHeight="1">
      <c r="A153" s="54"/>
      <c r="B153" s="72" t="s">
        <v>126</v>
      </c>
      <c r="C153" s="79">
        <v>0</v>
      </c>
    </row>
    <row r="154" spans="1:3" ht="15" customHeight="1">
      <c r="A154" s="54"/>
      <c r="B154" s="72" t="s">
        <v>127</v>
      </c>
      <c r="C154" s="79">
        <v>0</v>
      </c>
    </row>
    <row r="155" spans="1:3" ht="15" customHeight="1">
      <c r="A155" s="54"/>
      <c r="B155" s="72" t="s">
        <v>128</v>
      </c>
      <c r="C155" s="79">
        <v>0</v>
      </c>
    </row>
    <row r="156" spans="1:3" ht="15" customHeight="1">
      <c r="A156" s="54"/>
      <c r="B156" s="72" t="s">
        <v>159</v>
      </c>
      <c r="C156" s="79">
        <v>0</v>
      </c>
    </row>
    <row r="157" spans="1:3" ht="15" customHeight="1">
      <c r="A157" s="54"/>
      <c r="B157" s="72" t="s">
        <v>129</v>
      </c>
      <c r="C157" s="79">
        <v>0</v>
      </c>
    </row>
    <row r="158" spans="1:3" ht="15.75" customHeight="1">
      <c r="A158" s="54"/>
      <c r="B158" s="72" t="s">
        <v>162</v>
      </c>
      <c r="C158" s="79">
        <v>0</v>
      </c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autoFilter ref="B4:C94"/>
  <mergeCells count="2">
    <mergeCell ref="B1:C1"/>
    <mergeCell ref="B3:C3"/>
  </mergeCells>
  <printOptions/>
  <pageMargins left="0.7086614173228347" right="0.7086614173228347" top="0.25" bottom="0.35433070866141736" header="0.25" footer="0.31496062992125984"/>
  <pageSetup horizontalDpi="180" verticalDpi="18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0"/>
  <sheetViews>
    <sheetView tabSelected="1" view="pageBreakPreview" zoomScale="120" zoomScaleNormal="120" zoomScaleSheetLayoutView="120" workbookViewId="0" topLeftCell="A163">
      <selection activeCell="D159" sqref="D159"/>
    </sheetView>
  </sheetViews>
  <sheetFormatPr defaultColWidth="9.140625" defaultRowHeight="15"/>
  <cols>
    <col min="1" max="1" width="37.28125" style="40" customWidth="1"/>
    <col min="2" max="2" width="4.7109375" style="20" customWidth="1"/>
    <col min="3" max="3" width="8.57421875" style="20" customWidth="1"/>
    <col min="4" max="4" width="9.7109375" style="20" customWidth="1"/>
    <col min="5" max="6" width="6.7109375" style="20" customWidth="1"/>
    <col min="7" max="7" width="12.7109375" style="20" customWidth="1"/>
    <col min="8" max="8" width="12.421875" style="20" customWidth="1"/>
    <col min="9" max="9" width="15.28125" style="20" customWidth="1"/>
    <col min="10" max="10" width="12.00390625" style="20" customWidth="1"/>
    <col min="11" max="11" width="0.85546875" style="20" customWidth="1"/>
    <col min="12" max="12" width="0.71875" style="20" customWidth="1"/>
    <col min="13" max="13" width="16.57421875" style="20" customWidth="1"/>
    <col min="14" max="14" width="5.28125" style="20" customWidth="1"/>
    <col min="15" max="15" width="12.8515625" style="63" customWidth="1"/>
  </cols>
  <sheetData>
    <row r="1" spans="1:14" ht="12.75" customHeight="1">
      <c r="A1" s="477" t="s">
        <v>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2.75" customHeight="1">
      <c r="A2" s="3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 t="s">
        <v>42</v>
      </c>
    </row>
    <row r="3" spans="1:14" ht="12.75" customHeight="1">
      <c r="A3" s="38"/>
      <c r="B3" s="21"/>
      <c r="C3" s="21"/>
      <c r="D3" s="21"/>
      <c r="E3" s="21"/>
      <c r="F3" s="21"/>
      <c r="G3" s="21"/>
      <c r="H3" s="457" t="s">
        <v>41</v>
      </c>
      <c r="I3" s="457"/>
      <c r="J3" s="457"/>
      <c r="K3" s="457"/>
      <c r="L3" s="21"/>
      <c r="M3" s="21"/>
      <c r="N3" s="21"/>
    </row>
    <row r="4" spans="1:14" ht="12.75" customHeight="1">
      <c r="A4" s="38"/>
      <c r="B4" s="21"/>
      <c r="C4" s="21"/>
      <c r="D4" s="21"/>
      <c r="E4" s="21"/>
      <c r="F4" s="21"/>
      <c r="G4" s="21"/>
      <c r="H4" s="478">
        <v>43579</v>
      </c>
      <c r="I4" s="458"/>
      <c r="J4" s="458"/>
      <c r="K4" s="458"/>
      <c r="L4" s="21"/>
      <c r="M4" s="21"/>
      <c r="N4" s="21"/>
    </row>
    <row r="5" spans="1:14" ht="12.75" customHeight="1">
      <c r="A5" s="38"/>
      <c r="B5" s="21"/>
      <c r="C5" s="21"/>
      <c r="D5" s="21"/>
      <c r="E5" s="21"/>
      <c r="F5" s="21"/>
      <c r="G5" s="21"/>
      <c r="H5" s="22"/>
      <c r="I5" s="22"/>
      <c r="J5" s="22"/>
      <c r="K5" s="22"/>
      <c r="L5" s="21"/>
      <c r="M5" s="21"/>
      <c r="N5" s="21"/>
    </row>
    <row r="6" spans="1:15" s="8" customFormat="1" ht="18" customHeight="1">
      <c r="A6" s="465" t="s">
        <v>1</v>
      </c>
      <c r="B6" s="455" t="s">
        <v>45</v>
      </c>
      <c r="C6" s="479" t="s">
        <v>397</v>
      </c>
      <c r="D6" s="468" t="s">
        <v>163</v>
      </c>
      <c r="E6" s="462" t="s">
        <v>164</v>
      </c>
      <c r="F6" s="455" t="s">
        <v>165</v>
      </c>
      <c r="G6" s="471" t="s">
        <v>338</v>
      </c>
      <c r="H6" s="459" t="s">
        <v>38</v>
      </c>
      <c r="I6" s="460"/>
      <c r="J6" s="460"/>
      <c r="K6" s="460"/>
      <c r="L6" s="460"/>
      <c r="M6" s="460"/>
      <c r="N6" s="461"/>
      <c r="O6" s="64"/>
    </row>
    <row r="7" spans="1:15" s="8" customFormat="1" ht="16.5" customHeight="1">
      <c r="A7" s="466"/>
      <c r="B7" s="455"/>
      <c r="C7" s="480"/>
      <c r="D7" s="469"/>
      <c r="E7" s="456"/>
      <c r="F7" s="455"/>
      <c r="G7" s="472"/>
      <c r="H7" s="462" t="s">
        <v>33</v>
      </c>
      <c r="I7" s="455" t="s">
        <v>4</v>
      </c>
      <c r="J7" s="455"/>
      <c r="K7" s="455"/>
      <c r="L7" s="455"/>
      <c r="M7" s="455"/>
      <c r="N7" s="455"/>
      <c r="O7" s="64"/>
    </row>
    <row r="8" spans="1:15" s="8" customFormat="1" ht="68.25" customHeight="1">
      <c r="A8" s="466"/>
      <c r="B8" s="455"/>
      <c r="C8" s="480"/>
      <c r="D8" s="469"/>
      <c r="E8" s="456"/>
      <c r="F8" s="455"/>
      <c r="G8" s="472"/>
      <c r="H8" s="456"/>
      <c r="I8" s="463" t="s">
        <v>398</v>
      </c>
      <c r="J8" s="475" t="s">
        <v>166</v>
      </c>
      <c r="K8" s="454" t="s">
        <v>34</v>
      </c>
      <c r="L8" s="456" t="s">
        <v>35</v>
      </c>
      <c r="M8" s="454" t="s">
        <v>50</v>
      </c>
      <c r="N8" s="454"/>
      <c r="O8" s="64"/>
    </row>
    <row r="9" spans="1:15" s="8" customFormat="1" ht="30.75" customHeight="1">
      <c r="A9" s="467"/>
      <c r="B9" s="455"/>
      <c r="C9" s="481"/>
      <c r="D9" s="470"/>
      <c r="E9" s="454"/>
      <c r="F9" s="455"/>
      <c r="G9" s="473"/>
      <c r="H9" s="454"/>
      <c r="I9" s="464"/>
      <c r="J9" s="476"/>
      <c r="K9" s="455"/>
      <c r="L9" s="454"/>
      <c r="M9" s="42" t="s">
        <v>36</v>
      </c>
      <c r="N9" s="42" t="s">
        <v>37</v>
      </c>
      <c r="O9" s="64"/>
    </row>
    <row r="10" spans="1:15" s="9" customFormat="1" ht="12">
      <c r="A10" s="24">
        <v>2</v>
      </c>
      <c r="B10" s="24">
        <v>3</v>
      </c>
      <c r="C10" s="24"/>
      <c r="D10" s="24">
        <v>4</v>
      </c>
      <c r="E10" s="24">
        <v>5</v>
      </c>
      <c r="F10" s="24">
        <v>6</v>
      </c>
      <c r="G10" s="24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65"/>
    </row>
    <row r="11" spans="1:14" s="169" customFormat="1" ht="12.75">
      <c r="A11" s="103" t="s">
        <v>43</v>
      </c>
      <c r="B11" s="166">
        <v>100</v>
      </c>
      <c r="C11" s="166"/>
      <c r="D11" s="166"/>
      <c r="E11" s="166"/>
      <c r="F11" s="166" t="s">
        <v>10</v>
      </c>
      <c r="G11" s="167"/>
      <c r="H11" s="168">
        <f>H13+H17+H50</f>
        <v>41077405.43</v>
      </c>
      <c r="I11" s="168">
        <f>I17</f>
        <v>29554017.829999994</v>
      </c>
      <c r="J11" s="168">
        <f>J50</f>
        <v>4781804.5600000005</v>
      </c>
      <c r="K11" s="168">
        <f>K51</f>
        <v>0</v>
      </c>
      <c r="L11" s="168">
        <f>L17</f>
        <v>0</v>
      </c>
      <c r="M11" s="168">
        <f>M13+M17+M49+M59</f>
        <v>6741583.04</v>
      </c>
      <c r="N11" s="168">
        <f>N17+N59</f>
        <v>0</v>
      </c>
    </row>
    <row r="12" spans="1:14" s="107" customFormat="1" ht="12.75">
      <c r="A12" s="108" t="s">
        <v>3</v>
      </c>
      <c r="B12" s="109"/>
      <c r="C12" s="109"/>
      <c r="D12" s="109"/>
      <c r="E12" s="109"/>
      <c r="F12" s="109"/>
      <c r="G12" s="110"/>
      <c r="H12" s="111"/>
      <c r="I12" s="111"/>
      <c r="J12" s="111"/>
      <c r="K12" s="112"/>
      <c r="L12" s="112"/>
      <c r="M12" s="113"/>
      <c r="N12" s="112"/>
    </row>
    <row r="13" spans="1:14" s="174" customFormat="1" ht="17.25" customHeight="1">
      <c r="A13" s="170" t="s">
        <v>32</v>
      </c>
      <c r="B13" s="158">
        <v>110</v>
      </c>
      <c r="C13" s="158">
        <v>120</v>
      </c>
      <c r="D13" s="171" t="s">
        <v>521</v>
      </c>
      <c r="E13" s="158"/>
      <c r="F13" s="158">
        <v>120</v>
      </c>
      <c r="G13" s="172" t="s">
        <v>363</v>
      </c>
      <c r="H13" s="160">
        <f>M13</f>
        <v>723583.04</v>
      </c>
      <c r="I13" s="158" t="s">
        <v>74</v>
      </c>
      <c r="J13" s="158" t="s">
        <v>74</v>
      </c>
      <c r="K13" s="173" t="s">
        <v>10</v>
      </c>
      <c r="L13" s="173" t="s">
        <v>10</v>
      </c>
      <c r="M13" s="163">
        <f>M15+M16</f>
        <v>723583.04</v>
      </c>
      <c r="N13" s="173" t="s">
        <v>10</v>
      </c>
    </row>
    <row r="14" spans="1:14" s="121" customFormat="1" ht="12.75">
      <c r="A14" s="114" t="s">
        <v>364</v>
      </c>
      <c r="B14" s="115"/>
      <c r="C14" s="115"/>
      <c r="D14" s="116"/>
      <c r="E14" s="115"/>
      <c r="F14" s="115"/>
      <c r="G14" s="122"/>
      <c r="H14" s="118"/>
      <c r="I14" s="122"/>
      <c r="J14" s="115"/>
      <c r="K14" s="119"/>
      <c r="L14" s="123"/>
      <c r="M14" s="118"/>
      <c r="N14" s="123"/>
    </row>
    <row r="15" spans="1:14" s="121" customFormat="1" ht="14.25" customHeight="1">
      <c r="A15" s="114" t="s">
        <v>365</v>
      </c>
      <c r="B15" s="115"/>
      <c r="C15" s="115">
        <v>121</v>
      </c>
      <c r="D15" s="116" t="s">
        <v>521</v>
      </c>
      <c r="E15" s="115"/>
      <c r="F15" s="115">
        <v>121</v>
      </c>
      <c r="G15" s="117" t="s">
        <v>363</v>
      </c>
      <c r="H15" s="118">
        <f>SUM(I15:M15)</f>
        <v>673583.04</v>
      </c>
      <c r="I15" s="122"/>
      <c r="J15" s="115"/>
      <c r="K15" s="119"/>
      <c r="L15" s="123"/>
      <c r="M15" s="118">
        <v>673583.04</v>
      </c>
      <c r="N15" s="123"/>
    </row>
    <row r="16" spans="1:14" s="121" customFormat="1" ht="24.75" customHeight="1">
      <c r="A16" s="114" t="s">
        <v>366</v>
      </c>
      <c r="B16" s="115"/>
      <c r="C16" s="115">
        <v>124</v>
      </c>
      <c r="D16" s="116" t="s">
        <v>521</v>
      </c>
      <c r="E16" s="115"/>
      <c r="F16" s="115">
        <v>124</v>
      </c>
      <c r="G16" s="117" t="s">
        <v>363</v>
      </c>
      <c r="H16" s="118">
        <f>SUM(I16:M16)</f>
        <v>50000</v>
      </c>
      <c r="I16" s="122"/>
      <c r="J16" s="115"/>
      <c r="K16" s="119"/>
      <c r="L16" s="123"/>
      <c r="M16" s="118">
        <v>50000</v>
      </c>
      <c r="N16" s="123"/>
    </row>
    <row r="17" spans="1:14" s="174" customFormat="1" ht="23.25" customHeight="1">
      <c r="A17" s="170" t="s">
        <v>367</v>
      </c>
      <c r="B17" s="158">
        <v>120</v>
      </c>
      <c r="C17" s="158">
        <v>130</v>
      </c>
      <c r="D17" s="171" t="s">
        <v>521</v>
      </c>
      <c r="E17" s="158"/>
      <c r="F17" s="158">
        <v>130</v>
      </c>
      <c r="G17" s="172" t="s">
        <v>363</v>
      </c>
      <c r="H17" s="182">
        <f>I17+L17+M17+N17</f>
        <v>35572017.83</v>
      </c>
      <c r="I17" s="182">
        <f>SUM(I18:I40)</f>
        <v>29554017.829999994</v>
      </c>
      <c r="J17" s="158" t="s">
        <v>74</v>
      </c>
      <c r="K17" s="158" t="s">
        <v>74</v>
      </c>
      <c r="L17" s="182">
        <f>L18+L20+L22+L24+L26+L28+L29+L30+L31+L32+L33+L34+L35+L36+L37+L38+L39+L40</f>
        <v>0</v>
      </c>
      <c r="M17" s="182">
        <f>M18+M20+M22+M24+M26+M28+M29+M30+M31+M32+M33+M34+M35+M36+M37+M38+M39+M40+M21+M41</f>
        <v>6018000</v>
      </c>
      <c r="N17" s="182">
        <f>N18+N20+N22+N24+N26+N28+N29+N30+N31+N32+N33+N34+N35</f>
        <v>0</v>
      </c>
    </row>
    <row r="18" spans="1:14" s="107" customFormat="1" ht="27.75" customHeight="1">
      <c r="A18" s="124" t="s">
        <v>342</v>
      </c>
      <c r="B18" s="115"/>
      <c r="C18" s="115">
        <v>131</v>
      </c>
      <c r="D18" s="116" t="s">
        <v>522</v>
      </c>
      <c r="E18" s="115"/>
      <c r="F18" s="115">
        <v>131</v>
      </c>
      <c r="G18" s="181" t="s">
        <v>524</v>
      </c>
      <c r="H18" s="125">
        <f aca="true" t="shared" si="0" ref="H18:H41">I18+J18+K18+L18+M18</f>
        <v>0</v>
      </c>
      <c r="I18" s="125">
        <v>0</v>
      </c>
      <c r="J18" s="125">
        <v>0</v>
      </c>
      <c r="K18" s="112"/>
      <c r="L18" s="111"/>
      <c r="M18" s="125">
        <v>0</v>
      </c>
      <c r="N18" s="125"/>
    </row>
    <row r="19" spans="1:14" s="107" customFormat="1" ht="12" customHeight="1">
      <c r="A19" s="124" t="s">
        <v>356</v>
      </c>
      <c r="B19" s="115"/>
      <c r="C19" s="115">
        <v>131</v>
      </c>
      <c r="D19" s="116" t="s">
        <v>522</v>
      </c>
      <c r="E19" s="115"/>
      <c r="F19" s="115">
        <v>131</v>
      </c>
      <c r="G19" s="181" t="s">
        <v>525</v>
      </c>
      <c r="H19" s="125">
        <f>I19+J19+K19+L19+M19</f>
        <v>0</v>
      </c>
      <c r="I19" s="125">
        <v>0</v>
      </c>
      <c r="J19" s="125">
        <v>0</v>
      </c>
      <c r="K19" s="112"/>
      <c r="L19" s="111"/>
      <c r="M19" s="125">
        <v>0</v>
      </c>
      <c r="N19" s="125"/>
    </row>
    <row r="20" spans="1:14" s="107" customFormat="1" ht="12" customHeight="1">
      <c r="A20" s="114" t="s">
        <v>343</v>
      </c>
      <c r="B20" s="115"/>
      <c r="C20" s="115">
        <v>131</v>
      </c>
      <c r="D20" s="116" t="s">
        <v>522</v>
      </c>
      <c r="E20" s="115"/>
      <c r="F20" s="115">
        <v>131</v>
      </c>
      <c r="G20" s="181" t="s">
        <v>524</v>
      </c>
      <c r="H20" s="125">
        <f t="shared" si="0"/>
        <v>0</v>
      </c>
      <c r="I20" s="125">
        <v>0</v>
      </c>
      <c r="J20" s="125">
        <v>0</v>
      </c>
      <c r="K20" s="112"/>
      <c r="L20" s="111"/>
      <c r="M20" s="125">
        <v>0</v>
      </c>
      <c r="N20" s="125"/>
    </row>
    <row r="21" spans="1:14" s="121" customFormat="1" ht="12" customHeight="1">
      <c r="A21" s="114" t="s">
        <v>343</v>
      </c>
      <c r="B21" s="115"/>
      <c r="C21" s="115">
        <v>131</v>
      </c>
      <c r="D21" s="116" t="s">
        <v>521</v>
      </c>
      <c r="E21" s="115"/>
      <c r="F21" s="115">
        <v>131</v>
      </c>
      <c r="G21" s="117" t="s">
        <v>363</v>
      </c>
      <c r="H21" s="118">
        <f t="shared" si="0"/>
        <v>0</v>
      </c>
      <c r="I21" s="118">
        <v>0</v>
      </c>
      <c r="J21" s="118">
        <v>0</v>
      </c>
      <c r="K21" s="119"/>
      <c r="L21" s="123"/>
      <c r="M21" s="118">
        <v>0</v>
      </c>
      <c r="N21" s="118"/>
    </row>
    <row r="22" spans="1:14" s="107" customFormat="1" ht="26.25" customHeight="1">
      <c r="A22" s="108" t="s">
        <v>344</v>
      </c>
      <c r="B22" s="109"/>
      <c r="C22" s="109">
        <v>131</v>
      </c>
      <c r="D22" s="116" t="s">
        <v>522</v>
      </c>
      <c r="E22" s="109"/>
      <c r="F22" s="109">
        <v>131</v>
      </c>
      <c r="G22" s="102" t="s">
        <v>526</v>
      </c>
      <c r="H22" s="125">
        <f t="shared" si="0"/>
        <v>6806441.2299999995</v>
      </c>
      <c r="I22" s="125">
        <f>223576.47+6582864.76</f>
        <v>6806441.2299999995</v>
      </c>
      <c r="J22" s="125"/>
      <c r="K22" s="112"/>
      <c r="L22" s="111"/>
      <c r="M22" s="125"/>
      <c r="N22" s="125"/>
    </row>
    <row r="23" spans="1:14" s="107" customFormat="1" ht="26.25" customHeight="1">
      <c r="A23" s="108" t="s">
        <v>344</v>
      </c>
      <c r="B23" s="109"/>
      <c r="C23" s="109">
        <v>131</v>
      </c>
      <c r="D23" s="116" t="s">
        <v>522</v>
      </c>
      <c r="E23" s="109"/>
      <c r="F23" s="109">
        <v>131</v>
      </c>
      <c r="G23" s="102" t="s">
        <v>527</v>
      </c>
      <c r="H23" s="125">
        <f>I23+J23+K23+L23+M23</f>
        <v>1684410.72</v>
      </c>
      <c r="I23" s="125">
        <f>1712009.64-27598.92</f>
        <v>1684410.72</v>
      </c>
      <c r="J23" s="125"/>
      <c r="K23" s="112"/>
      <c r="L23" s="111"/>
      <c r="M23" s="125"/>
      <c r="N23" s="125"/>
    </row>
    <row r="24" spans="1:14" s="107" customFormat="1" ht="26.25" customHeight="1">
      <c r="A24" s="108" t="s">
        <v>345</v>
      </c>
      <c r="B24" s="109"/>
      <c r="C24" s="109">
        <v>131</v>
      </c>
      <c r="D24" s="116" t="s">
        <v>522</v>
      </c>
      <c r="E24" s="109"/>
      <c r="F24" s="109">
        <v>131</v>
      </c>
      <c r="G24" s="102" t="s">
        <v>526</v>
      </c>
      <c r="H24" s="125">
        <f t="shared" si="0"/>
        <v>11162689.2</v>
      </c>
      <c r="I24" s="125">
        <f>360180+10802509.2</f>
        <v>11162689.2</v>
      </c>
      <c r="J24" s="125"/>
      <c r="K24" s="112"/>
      <c r="L24" s="111"/>
      <c r="M24" s="125"/>
      <c r="N24" s="125"/>
    </row>
    <row r="25" spans="1:14" s="107" customFormat="1" ht="26.25" customHeight="1">
      <c r="A25" s="108" t="s">
        <v>345</v>
      </c>
      <c r="B25" s="109"/>
      <c r="C25" s="109">
        <v>131</v>
      </c>
      <c r="D25" s="116" t="s">
        <v>522</v>
      </c>
      <c r="E25" s="109"/>
      <c r="F25" s="109">
        <v>131</v>
      </c>
      <c r="G25" s="102" t="s">
        <v>527</v>
      </c>
      <c r="H25" s="125">
        <f>I25+J25+K25+L25+M25</f>
        <v>1618522.52</v>
      </c>
      <c r="I25" s="125">
        <f>1644933.36-26410.84</f>
        <v>1618522.52</v>
      </c>
      <c r="J25" s="125"/>
      <c r="K25" s="112"/>
      <c r="L25" s="111"/>
      <c r="M25" s="125"/>
      <c r="N25" s="125"/>
    </row>
    <row r="26" spans="1:14" s="107" customFormat="1" ht="26.25" customHeight="1">
      <c r="A26" s="108" t="s">
        <v>346</v>
      </c>
      <c r="B26" s="109"/>
      <c r="C26" s="109">
        <v>131</v>
      </c>
      <c r="D26" s="116" t="s">
        <v>522</v>
      </c>
      <c r="E26" s="109"/>
      <c r="F26" s="109">
        <v>131</v>
      </c>
      <c r="G26" s="102" t="s">
        <v>526</v>
      </c>
      <c r="H26" s="125">
        <f t="shared" si="0"/>
        <v>3986028.2</v>
      </c>
      <c r="I26" s="125">
        <f>122248+3863780.2</f>
        <v>3986028.2</v>
      </c>
      <c r="J26" s="125"/>
      <c r="K26" s="112"/>
      <c r="L26" s="111"/>
      <c r="M26" s="125"/>
      <c r="N26" s="125"/>
    </row>
    <row r="27" spans="1:14" s="107" customFormat="1" ht="26.25" customHeight="1">
      <c r="A27" s="108" t="s">
        <v>346</v>
      </c>
      <c r="B27" s="109"/>
      <c r="C27" s="109">
        <v>131</v>
      </c>
      <c r="D27" s="116" t="s">
        <v>522</v>
      </c>
      <c r="E27" s="109"/>
      <c r="F27" s="109">
        <v>131</v>
      </c>
      <c r="G27" s="102" t="s">
        <v>527</v>
      </c>
      <c r="H27" s="125">
        <f>I27+J27+K27+L27+M27</f>
        <v>546472.99</v>
      </c>
      <c r="I27" s="125">
        <f>555423.64-8950.65</f>
        <v>546472.99</v>
      </c>
      <c r="J27" s="125"/>
      <c r="K27" s="112"/>
      <c r="L27" s="111"/>
      <c r="M27" s="125"/>
      <c r="N27" s="125"/>
    </row>
    <row r="28" spans="1:14" s="107" customFormat="1" ht="12" customHeight="1">
      <c r="A28" s="108" t="s">
        <v>347</v>
      </c>
      <c r="B28" s="109"/>
      <c r="C28" s="109">
        <v>131</v>
      </c>
      <c r="D28" s="116" t="s">
        <v>522</v>
      </c>
      <c r="E28" s="109"/>
      <c r="F28" s="109">
        <v>131</v>
      </c>
      <c r="G28" s="110"/>
      <c r="H28" s="125">
        <f t="shared" si="0"/>
        <v>0</v>
      </c>
      <c r="I28" s="125">
        <v>0</v>
      </c>
      <c r="J28" s="125"/>
      <c r="K28" s="112"/>
      <c r="L28" s="111"/>
      <c r="M28" s="125"/>
      <c r="N28" s="125"/>
    </row>
    <row r="29" spans="1:14" s="107" customFormat="1" ht="27.75" customHeight="1">
      <c r="A29" s="126" t="s">
        <v>517</v>
      </c>
      <c r="B29" s="109"/>
      <c r="C29" s="109">
        <v>131</v>
      </c>
      <c r="D29" s="116" t="s">
        <v>522</v>
      </c>
      <c r="E29" s="109"/>
      <c r="F29" s="109">
        <v>131</v>
      </c>
      <c r="G29" s="110"/>
      <c r="H29" s="125">
        <f t="shared" si="0"/>
        <v>0</v>
      </c>
      <c r="I29" s="125">
        <v>0</v>
      </c>
      <c r="J29" s="125"/>
      <c r="K29" s="112"/>
      <c r="L29" s="111"/>
      <c r="M29" s="125"/>
      <c r="N29" s="125"/>
    </row>
    <row r="30" spans="1:14" s="107" customFormat="1" ht="44.25" customHeight="1">
      <c r="A30" s="108" t="s">
        <v>348</v>
      </c>
      <c r="B30" s="109"/>
      <c r="C30" s="109">
        <v>131</v>
      </c>
      <c r="D30" s="116" t="s">
        <v>522</v>
      </c>
      <c r="E30" s="109"/>
      <c r="F30" s="109">
        <v>131</v>
      </c>
      <c r="G30" s="110"/>
      <c r="H30" s="125">
        <f t="shared" si="0"/>
        <v>0</v>
      </c>
      <c r="I30" s="125">
        <v>0</v>
      </c>
      <c r="J30" s="125"/>
      <c r="K30" s="112"/>
      <c r="L30" s="111"/>
      <c r="M30" s="125"/>
      <c r="N30" s="125"/>
    </row>
    <row r="31" spans="1:14" s="107" customFormat="1" ht="22.5" customHeight="1">
      <c r="A31" s="114" t="s">
        <v>349</v>
      </c>
      <c r="B31" s="115"/>
      <c r="C31" s="115">
        <v>131</v>
      </c>
      <c r="D31" s="116" t="s">
        <v>522</v>
      </c>
      <c r="E31" s="115"/>
      <c r="F31" s="115">
        <v>131</v>
      </c>
      <c r="G31" s="122"/>
      <c r="H31" s="118">
        <f t="shared" si="0"/>
        <v>0</v>
      </c>
      <c r="I31" s="125">
        <v>0</v>
      </c>
      <c r="J31" s="125"/>
      <c r="K31" s="112"/>
      <c r="L31" s="111"/>
      <c r="M31" s="125"/>
      <c r="N31" s="125"/>
    </row>
    <row r="32" spans="1:14" s="107" customFormat="1" ht="31.5" customHeight="1">
      <c r="A32" s="127" t="s">
        <v>350</v>
      </c>
      <c r="B32" s="115"/>
      <c r="C32" s="115">
        <v>131</v>
      </c>
      <c r="D32" s="116" t="s">
        <v>522</v>
      </c>
      <c r="E32" s="115"/>
      <c r="F32" s="115">
        <v>131</v>
      </c>
      <c r="G32" s="122"/>
      <c r="H32" s="118">
        <f t="shared" si="0"/>
        <v>0</v>
      </c>
      <c r="I32" s="125">
        <v>0</v>
      </c>
      <c r="J32" s="125"/>
      <c r="K32" s="112"/>
      <c r="L32" s="111"/>
      <c r="M32" s="125"/>
      <c r="N32" s="125"/>
    </row>
    <row r="33" spans="1:14" s="107" customFormat="1" ht="43.5" customHeight="1">
      <c r="A33" s="114" t="s">
        <v>351</v>
      </c>
      <c r="B33" s="115"/>
      <c r="C33" s="115">
        <v>131</v>
      </c>
      <c r="D33" s="116" t="s">
        <v>522</v>
      </c>
      <c r="E33" s="115"/>
      <c r="F33" s="115">
        <v>131</v>
      </c>
      <c r="G33" s="122"/>
      <c r="H33" s="118">
        <f t="shared" si="0"/>
        <v>0</v>
      </c>
      <c r="I33" s="125">
        <v>0</v>
      </c>
      <c r="J33" s="125"/>
      <c r="K33" s="112"/>
      <c r="L33" s="111"/>
      <c r="M33" s="125"/>
      <c r="N33" s="125"/>
    </row>
    <row r="34" spans="1:14" s="107" customFormat="1" ht="33" customHeight="1">
      <c r="A34" s="114" t="s">
        <v>352</v>
      </c>
      <c r="B34" s="115"/>
      <c r="C34" s="115">
        <v>131</v>
      </c>
      <c r="D34" s="116" t="s">
        <v>522</v>
      </c>
      <c r="E34" s="115"/>
      <c r="F34" s="115">
        <v>131</v>
      </c>
      <c r="G34" s="122"/>
      <c r="H34" s="118">
        <f t="shared" si="0"/>
        <v>0</v>
      </c>
      <c r="I34" s="125">
        <v>0</v>
      </c>
      <c r="J34" s="125"/>
      <c r="K34" s="112"/>
      <c r="L34" s="111"/>
      <c r="M34" s="125"/>
      <c r="N34" s="125"/>
    </row>
    <row r="35" spans="1:14" s="107" customFormat="1" ht="33.75" customHeight="1">
      <c r="A35" s="114" t="s">
        <v>353</v>
      </c>
      <c r="B35" s="115"/>
      <c r="C35" s="115">
        <v>131</v>
      </c>
      <c r="D35" s="116" t="s">
        <v>522</v>
      </c>
      <c r="E35" s="115"/>
      <c r="F35" s="115">
        <v>131</v>
      </c>
      <c r="G35" s="122"/>
      <c r="H35" s="118">
        <f t="shared" si="0"/>
        <v>0</v>
      </c>
      <c r="I35" s="125">
        <v>0</v>
      </c>
      <c r="J35" s="125"/>
      <c r="K35" s="112"/>
      <c r="L35" s="111"/>
      <c r="M35" s="125"/>
      <c r="N35" s="125"/>
    </row>
    <row r="36" spans="1:14" s="107" customFormat="1" ht="25.5">
      <c r="A36" s="114" t="s">
        <v>51</v>
      </c>
      <c r="B36" s="115"/>
      <c r="C36" s="115">
        <v>131</v>
      </c>
      <c r="D36" s="116" t="s">
        <v>522</v>
      </c>
      <c r="E36" s="115"/>
      <c r="F36" s="115">
        <v>131</v>
      </c>
      <c r="G36" s="102" t="s">
        <v>527</v>
      </c>
      <c r="H36" s="118">
        <f t="shared" si="0"/>
        <v>789739.97</v>
      </c>
      <c r="I36" s="125">
        <f>805176-15436.03</f>
        <v>789739.97</v>
      </c>
      <c r="J36" s="125"/>
      <c r="K36" s="112"/>
      <c r="L36" s="111"/>
      <c r="M36" s="125"/>
      <c r="N36" s="125"/>
    </row>
    <row r="37" spans="1:14" s="107" customFormat="1" ht="15.75" customHeight="1">
      <c r="A37" s="114" t="s">
        <v>52</v>
      </c>
      <c r="B37" s="115"/>
      <c r="C37" s="115">
        <v>131</v>
      </c>
      <c r="D37" s="116" t="s">
        <v>522</v>
      </c>
      <c r="E37" s="115"/>
      <c r="F37" s="115">
        <v>131</v>
      </c>
      <c r="G37" s="102" t="s">
        <v>527</v>
      </c>
      <c r="H37" s="118">
        <f t="shared" si="0"/>
        <v>2959713</v>
      </c>
      <c r="I37" s="125">
        <v>2959713</v>
      </c>
      <c r="J37" s="125"/>
      <c r="K37" s="112"/>
      <c r="L37" s="111"/>
      <c r="M37" s="125"/>
      <c r="N37" s="125"/>
    </row>
    <row r="38" spans="1:14" s="128" customFormat="1" ht="15.75" customHeight="1">
      <c r="A38" s="114" t="s">
        <v>46</v>
      </c>
      <c r="B38" s="115"/>
      <c r="C38" s="115">
        <v>131</v>
      </c>
      <c r="D38" s="116" t="s">
        <v>521</v>
      </c>
      <c r="E38" s="115"/>
      <c r="F38" s="115">
        <v>131</v>
      </c>
      <c r="G38" s="117" t="s">
        <v>363</v>
      </c>
      <c r="H38" s="118">
        <f t="shared" si="0"/>
        <v>5661000</v>
      </c>
      <c r="I38" s="118"/>
      <c r="J38" s="118"/>
      <c r="K38" s="119"/>
      <c r="L38" s="123"/>
      <c r="M38" s="118">
        <v>5661000</v>
      </c>
      <c r="N38" s="118"/>
    </row>
    <row r="39" spans="1:14" s="128" customFormat="1" ht="15.75" customHeight="1">
      <c r="A39" s="114" t="s">
        <v>48</v>
      </c>
      <c r="B39" s="115"/>
      <c r="C39" s="115">
        <v>131</v>
      </c>
      <c r="D39" s="116" t="s">
        <v>521</v>
      </c>
      <c r="E39" s="115"/>
      <c r="F39" s="115">
        <v>131</v>
      </c>
      <c r="G39" s="117" t="s">
        <v>363</v>
      </c>
      <c r="H39" s="118">
        <f>I39+J39+K39+L39+M39</f>
        <v>0</v>
      </c>
      <c r="I39" s="118"/>
      <c r="J39" s="118"/>
      <c r="K39" s="119"/>
      <c r="L39" s="123"/>
      <c r="M39" s="118"/>
      <c r="N39" s="118"/>
    </row>
    <row r="40" spans="1:14" s="128" customFormat="1" ht="15.75" customHeight="1">
      <c r="A40" s="114" t="s">
        <v>368</v>
      </c>
      <c r="B40" s="115"/>
      <c r="C40" s="115">
        <v>134</v>
      </c>
      <c r="D40" s="116" t="s">
        <v>521</v>
      </c>
      <c r="E40" s="115"/>
      <c r="F40" s="115">
        <v>134</v>
      </c>
      <c r="G40" s="117" t="s">
        <v>363</v>
      </c>
      <c r="H40" s="118">
        <f t="shared" si="0"/>
        <v>0</v>
      </c>
      <c r="I40" s="118"/>
      <c r="J40" s="118"/>
      <c r="K40" s="119"/>
      <c r="L40" s="123"/>
      <c r="M40" s="118"/>
      <c r="N40" s="118"/>
    </row>
    <row r="41" spans="1:14" s="128" customFormat="1" ht="21.75" customHeight="1">
      <c r="A41" s="114" t="s">
        <v>47</v>
      </c>
      <c r="B41" s="115"/>
      <c r="C41" s="115">
        <v>135</v>
      </c>
      <c r="D41" s="116" t="s">
        <v>521</v>
      </c>
      <c r="E41" s="115"/>
      <c r="F41" s="115">
        <v>135</v>
      </c>
      <c r="G41" s="117" t="s">
        <v>363</v>
      </c>
      <c r="H41" s="118">
        <f t="shared" si="0"/>
        <v>357000</v>
      </c>
      <c r="I41" s="118"/>
      <c r="J41" s="118"/>
      <c r="K41" s="119"/>
      <c r="L41" s="123"/>
      <c r="M41" s="118">
        <v>357000</v>
      </c>
      <c r="N41" s="118"/>
    </row>
    <row r="42" spans="1:14" s="134" customFormat="1" ht="27.75" customHeight="1">
      <c r="A42" s="129" t="s">
        <v>432</v>
      </c>
      <c r="B42" s="130">
        <v>130</v>
      </c>
      <c r="C42" s="130">
        <v>140</v>
      </c>
      <c r="D42" s="116" t="s">
        <v>521</v>
      </c>
      <c r="E42" s="130"/>
      <c r="F42" s="130">
        <v>140</v>
      </c>
      <c r="G42" s="131" t="s">
        <v>363</v>
      </c>
      <c r="H42" s="132">
        <f>M42</f>
        <v>0</v>
      </c>
      <c r="I42" s="130" t="s">
        <v>74</v>
      </c>
      <c r="J42" s="130" t="s">
        <v>74</v>
      </c>
      <c r="K42" s="130" t="s">
        <v>74</v>
      </c>
      <c r="L42" s="130" t="s">
        <v>74</v>
      </c>
      <c r="M42" s="133">
        <f>M44+M45+M46+M47+M48</f>
        <v>0</v>
      </c>
      <c r="N42" s="130" t="s">
        <v>74</v>
      </c>
    </row>
    <row r="43" spans="1:14" s="128" customFormat="1" ht="12.75">
      <c r="A43" s="114" t="s">
        <v>364</v>
      </c>
      <c r="B43" s="115"/>
      <c r="C43" s="115"/>
      <c r="D43" s="116"/>
      <c r="E43" s="115"/>
      <c r="F43" s="115"/>
      <c r="G43" s="122"/>
      <c r="H43" s="118"/>
      <c r="I43" s="122"/>
      <c r="J43" s="115"/>
      <c r="K43" s="119"/>
      <c r="L43" s="123"/>
      <c r="M43" s="118"/>
      <c r="N43" s="123"/>
    </row>
    <row r="44" spans="1:14" s="128" customFormat="1" ht="38.25">
      <c r="A44" s="114" t="s">
        <v>369</v>
      </c>
      <c r="B44" s="115"/>
      <c r="C44" s="115">
        <v>141</v>
      </c>
      <c r="D44" s="116" t="s">
        <v>521</v>
      </c>
      <c r="E44" s="115"/>
      <c r="F44" s="115">
        <v>141</v>
      </c>
      <c r="G44" s="117" t="s">
        <v>363</v>
      </c>
      <c r="H44" s="118">
        <f>I44+J44+K44+L44+M44</f>
        <v>0</v>
      </c>
      <c r="I44" s="122"/>
      <c r="J44" s="115"/>
      <c r="K44" s="119"/>
      <c r="L44" s="123"/>
      <c r="M44" s="118"/>
      <c r="N44" s="123"/>
    </row>
    <row r="45" spans="1:14" s="128" customFormat="1" ht="25.5">
      <c r="A45" s="114" t="s">
        <v>370</v>
      </c>
      <c r="B45" s="115"/>
      <c r="C45" s="115">
        <v>142</v>
      </c>
      <c r="D45" s="116" t="s">
        <v>521</v>
      </c>
      <c r="E45" s="115"/>
      <c r="F45" s="115">
        <v>142</v>
      </c>
      <c r="G45" s="117" t="s">
        <v>363</v>
      </c>
      <c r="H45" s="118">
        <f>I45+J45+K45+L45+M45</f>
        <v>0</v>
      </c>
      <c r="I45" s="122"/>
      <c r="J45" s="115"/>
      <c r="K45" s="119"/>
      <c r="L45" s="123"/>
      <c r="M45" s="118"/>
      <c r="N45" s="123"/>
    </row>
    <row r="46" spans="1:14" s="128" customFormat="1" ht="15" customHeight="1">
      <c r="A46" s="114" t="s">
        <v>371</v>
      </c>
      <c r="B46" s="115"/>
      <c r="C46" s="115">
        <v>143</v>
      </c>
      <c r="D46" s="116" t="s">
        <v>521</v>
      </c>
      <c r="E46" s="115"/>
      <c r="F46" s="115">
        <v>143</v>
      </c>
      <c r="G46" s="117" t="s">
        <v>363</v>
      </c>
      <c r="H46" s="118">
        <f>I46+J46+K46+L46+M46</f>
        <v>0</v>
      </c>
      <c r="I46" s="122"/>
      <c r="J46" s="115"/>
      <c r="K46" s="119"/>
      <c r="L46" s="123"/>
      <c r="M46" s="118"/>
      <c r="N46" s="123"/>
    </row>
    <row r="47" spans="1:14" s="128" customFormat="1" ht="15" customHeight="1">
      <c r="A47" s="114" t="s">
        <v>372</v>
      </c>
      <c r="B47" s="115"/>
      <c r="C47" s="115">
        <v>144</v>
      </c>
      <c r="D47" s="116" t="s">
        <v>521</v>
      </c>
      <c r="E47" s="115"/>
      <c r="F47" s="115">
        <v>144</v>
      </c>
      <c r="G47" s="117" t="s">
        <v>363</v>
      </c>
      <c r="H47" s="118">
        <f>I47+J47+K47+L47+M47</f>
        <v>0</v>
      </c>
      <c r="I47" s="122"/>
      <c r="J47" s="115"/>
      <c r="K47" s="119"/>
      <c r="L47" s="123"/>
      <c r="M47" s="118"/>
      <c r="N47" s="123"/>
    </row>
    <row r="48" spans="1:14" s="128" customFormat="1" ht="15" customHeight="1">
      <c r="A48" s="114" t="s">
        <v>373</v>
      </c>
      <c r="B48" s="115"/>
      <c r="C48" s="115">
        <v>145</v>
      </c>
      <c r="D48" s="116" t="s">
        <v>521</v>
      </c>
      <c r="E48" s="115"/>
      <c r="F48" s="115">
        <v>145</v>
      </c>
      <c r="G48" s="117" t="s">
        <v>363</v>
      </c>
      <c r="H48" s="118">
        <f>I48+J48+K48+L48+M48</f>
        <v>0</v>
      </c>
      <c r="I48" s="122"/>
      <c r="J48" s="115"/>
      <c r="K48" s="119"/>
      <c r="L48" s="123"/>
      <c r="M48" s="118"/>
      <c r="N48" s="123"/>
    </row>
    <row r="49" spans="1:14" s="107" customFormat="1" ht="47.25" customHeight="1">
      <c r="A49" s="114" t="s">
        <v>49</v>
      </c>
      <c r="B49" s="115">
        <v>140</v>
      </c>
      <c r="C49" s="115"/>
      <c r="D49" s="116" t="s">
        <v>521</v>
      </c>
      <c r="E49" s="115"/>
      <c r="F49" s="115"/>
      <c r="G49" s="122"/>
      <c r="H49" s="118">
        <f>M49</f>
        <v>0</v>
      </c>
      <c r="I49" s="109" t="s">
        <v>74</v>
      </c>
      <c r="J49" s="109" t="s">
        <v>74</v>
      </c>
      <c r="K49" s="109" t="s">
        <v>74</v>
      </c>
      <c r="L49" s="109" t="s">
        <v>74</v>
      </c>
      <c r="M49" s="109"/>
      <c r="N49" s="109" t="s">
        <v>74</v>
      </c>
    </row>
    <row r="50" spans="1:14" s="169" customFormat="1" ht="33" customHeight="1">
      <c r="A50" s="170" t="s">
        <v>167</v>
      </c>
      <c r="B50" s="158">
        <v>150</v>
      </c>
      <c r="C50" s="158">
        <v>150</v>
      </c>
      <c r="D50" s="158">
        <v>901000000</v>
      </c>
      <c r="E50" s="158"/>
      <c r="F50" s="158">
        <v>150</v>
      </c>
      <c r="G50" s="159"/>
      <c r="H50" s="182">
        <f aca="true" t="shared" si="1" ref="H50:H58">J50+K50</f>
        <v>4781804.5600000005</v>
      </c>
      <c r="I50" s="175" t="s">
        <v>74</v>
      </c>
      <c r="J50" s="176">
        <f>SUM(J51:J57)</f>
        <v>4781804.5600000005</v>
      </c>
      <c r="K50" s="175">
        <f>K51</f>
        <v>0</v>
      </c>
      <c r="L50" s="175" t="s">
        <v>74</v>
      </c>
      <c r="M50" s="175" t="s">
        <v>74</v>
      </c>
      <c r="N50" s="175" t="s">
        <v>74</v>
      </c>
    </row>
    <row r="51" spans="1:14" s="107" customFormat="1" ht="23.25" customHeight="1">
      <c r="A51" s="114" t="s">
        <v>167</v>
      </c>
      <c r="B51" s="115">
        <v>150</v>
      </c>
      <c r="C51" s="115">
        <v>152</v>
      </c>
      <c r="D51" s="115">
        <v>901480000</v>
      </c>
      <c r="E51" s="115"/>
      <c r="F51" s="115">
        <v>152</v>
      </c>
      <c r="G51" s="122" t="s">
        <v>526</v>
      </c>
      <c r="H51" s="118">
        <f t="shared" si="1"/>
        <v>1781767</v>
      </c>
      <c r="I51" s="109"/>
      <c r="J51" s="125">
        <v>1781767</v>
      </c>
      <c r="K51" s="112"/>
      <c r="L51" s="109" t="s">
        <v>74</v>
      </c>
      <c r="M51" s="109" t="s">
        <v>74</v>
      </c>
      <c r="N51" s="109" t="s">
        <v>74</v>
      </c>
    </row>
    <row r="52" spans="1:14" s="107" customFormat="1" ht="23.25" customHeight="1">
      <c r="A52" s="114" t="s">
        <v>167</v>
      </c>
      <c r="B52" s="115">
        <v>150</v>
      </c>
      <c r="C52" s="115">
        <v>152</v>
      </c>
      <c r="D52" s="115">
        <v>901160000</v>
      </c>
      <c r="E52" s="115"/>
      <c r="F52" s="115">
        <v>152</v>
      </c>
      <c r="G52" s="122" t="s">
        <v>526</v>
      </c>
      <c r="H52" s="118">
        <f t="shared" si="1"/>
        <v>949644</v>
      </c>
      <c r="I52" s="109"/>
      <c r="J52" s="125">
        <v>949644</v>
      </c>
      <c r="K52" s="112"/>
      <c r="L52" s="109" t="s">
        <v>74</v>
      </c>
      <c r="M52" s="109" t="s">
        <v>74</v>
      </c>
      <c r="N52" s="109" t="s">
        <v>74</v>
      </c>
    </row>
    <row r="53" spans="1:14" s="107" customFormat="1" ht="23.25" customHeight="1">
      <c r="A53" s="114" t="s">
        <v>167</v>
      </c>
      <c r="B53" s="115">
        <v>150</v>
      </c>
      <c r="C53" s="115">
        <v>152</v>
      </c>
      <c r="D53" s="115">
        <v>901830000</v>
      </c>
      <c r="E53" s="115"/>
      <c r="F53" s="115">
        <v>152</v>
      </c>
      <c r="G53" s="122" t="s">
        <v>526</v>
      </c>
      <c r="H53" s="118">
        <f t="shared" si="1"/>
        <v>532435.56</v>
      </c>
      <c r="I53" s="109"/>
      <c r="J53" s="125">
        <v>532435.56</v>
      </c>
      <c r="K53" s="112"/>
      <c r="L53" s="109" t="s">
        <v>74</v>
      </c>
      <c r="M53" s="109" t="s">
        <v>74</v>
      </c>
      <c r="N53" s="109" t="s">
        <v>74</v>
      </c>
    </row>
    <row r="54" spans="1:14" s="107" customFormat="1" ht="23.25" customHeight="1">
      <c r="A54" s="114" t="s">
        <v>167</v>
      </c>
      <c r="B54" s="115">
        <v>150</v>
      </c>
      <c r="C54" s="115">
        <v>152</v>
      </c>
      <c r="D54" s="115">
        <v>901210000</v>
      </c>
      <c r="E54" s="115"/>
      <c r="F54" s="115">
        <v>152</v>
      </c>
      <c r="G54" s="117" t="s">
        <v>528</v>
      </c>
      <c r="H54" s="118">
        <f t="shared" si="1"/>
        <v>876777</v>
      </c>
      <c r="I54" s="109"/>
      <c r="J54" s="125">
        <v>876777</v>
      </c>
      <c r="K54" s="112"/>
      <c r="L54" s="109" t="s">
        <v>74</v>
      </c>
      <c r="M54" s="109" t="s">
        <v>74</v>
      </c>
      <c r="N54" s="109" t="s">
        <v>74</v>
      </c>
    </row>
    <row r="55" spans="1:14" s="107" customFormat="1" ht="23.25" customHeight="1">
      <c r="A55" s="114" t="s">
        <v>167</v>
      </c>
      <c r="B55" s="115">
        <v>150</v>
      </c>
      <c r="C55" s="115">
        <v>152</v>
      </c>
      <c r="D55" s="115">
        <v>901150000</v>
      </c>
      <c r="E55" s="115"/>
      <c r="F55" s="115">
        <v>152</v>
      </c>
      <c r="G55" s="122" t="s">
        <v>526</v>
      </c>
      <c r="H55" s="118">
        <f t="shared" si="1"/>
        <v>396173</v>
      </c>
      <c r="I55" s="109"/>
      <c r="J55" s="125">
        <v>396173</v>
      </c>
      <c r="K55" s="112"/>
      <c r="L55" s="109" t="s">
        <v>74</v>
      </c>
      <c r="M55" s="109" t="s">
        <v>74</v>
      </c>
      <c r="N55" s="109" t="s">
        <v>74</v>
      </c>
    </row>
    <row r="56" spans="1:14" s="107" customFormat="1" ht="23.25" customHeight="1">
      <c r="A56" s="114" t="s">
        <v>167</v>
      </c>
      <c r="B56" s="115">
        <v>150</v>
      </c>
      <c r="C56" s="115">
        <v>152</v>
      </c>
      <c r="D56" s="115">
        <v>901170000</v>
      </c>
      <c r="E56" s="115"/>
      <c r="F56" s="115">
        <v>152</v>
      </c>
      <c r="G56" s="122" t="s">
        <v>540</v>
      </c>
      <c r="H56" s="118">
        <f>J56+K56</f>
        <v>90000</v>
      </c>
      <c r="I56" s="109"/>
      <c r="J56" s="125">
        <v>90000</v>
      </c>
      <c r="K56" s="112"/>
      <c r="L56" s="109" t="s">
        <v>74</v>
      </c>
      <c r="M56" s="109" t="s">
        <v>74</v>
      </c>
      <c r="N56" s="109" t="s">
        <v>74</v>
      </c>
    </row>
    <row r="57" spans="1:14" s="107" customFormat="1" ht="23.25" customHeight="1">
      <c r="A57" s="114" t="s">
        <v>167</v>
      </c>
      <c r="B57" s="115">
        <v>150</v>
      </c>
      <c r="C57" s="115">
        <v>152</v>
      </c>
      <c r="D57" s="115">
        <v>901140000</v>
      </c>
      <c r="E57" s="115"/>
      <c r="F57" s="115">
        <v>152</v>
      </c>
      <c r="G57" s="122" t="s">
        <v>526</v>
      </c>
      <c r="H57" s="118">
        <f t="shared" si="1"/>
        <v>155008</v>
      </c>
      <c r="I57" s="109"/>
      <c r="J57" s="125">
        <v>155008</v>
      </c>
      <c r="K57" s="112"/>
      <c r="L57" s="109" t="s">
        <v>74</v>
      </c>
      <c r="M57" s="109" t="s">
        <v>74</v>
      </c>
      <c r="N57" s="109" t="s">
        <v>74</v>
      </c>
    </row>
    <row r="58" spans="1:14" s="107" customFormat="1" ht="23.25" customHeight="1">
      <c r="A58" s="114" t="s">
        <v>167</v>
      </c>
      <c r="B58" s="115">
        <v>150</v>
      </c>
      <c r="C58" s="115">
        <v>152</v>
      </c>
      <c r="D58" s="115">
        <v>901750000</v>
      </c>
      <c r="E58" s="115"/>
      <c r="F58" s="115">
        <v>152</v>
      </c>
      <c r="G58" s="117" t="s">
        <v>529</v>
      </c>
      <c r="H58" s="118">
        <f t="shared" si="1"/>
        <v>0</v>
      </c>
      <c r="I58" s="109"/>
      <c r="J58" s="125">
        <v>0</v>
      </c>
      <c r="K58" s="112"/>
      <c r="L58" s="109"/>
      <c r="M58" s="110"/>
      <c r="N58" s="110"/>
    </row>
    <row r="59" spans="1:14" s="128" customFormat="1" ht="15" customHeight="1">
      <c r="A59" s="114" t="s">
        <v>210</v>
      </c>
      <c r="B59" s="115">
        <v>160</v>
      </c>
      <c r="C59" s="115">
        <v>180</v>
      </c>
      <c r="D59" s="116" t="s">
        <v>521</v>
      </c>
      <c r="E59" s="115"/>
      <c r="F59" s="115">
        <v>180</v>
      </c>
      <c r="G59" s="117" t="s">
        <v>363</v>
      </c>
      <c r="H59" s="118">
        <f aca="true" t="shared" si="2" ref="H59:H67">M59</f>
        <v>0</v>
      </c>
      <c r="I59" s="115" t="s">
        <v>74</v>
      </c>
      <c r="J59" s="115" t="s">
        <v>74</v>
      </c>
      <c r="K59" s="115" t="s">
        <v>74</v>
      </c>
      <c r="L59" s="115" t="s">
        <v>74</v>
      </c>
      <c r="M59" s="118">
        <f>M60+M61</f>
        <v>0</v>
      </c>
      <c r="N59" s="118">
        <f>N60+N61</f>
        <v>0</v>
      </c>
    </row>
    <row r="60" spans="1:14" s="128" customFormat="1" ht="15" customHeight="1">
      <c r="A60" s="136" t="s">
        <v>133</v>
      </c>
      <c r="B60" s="115"/>
      <c r="C60" s="115">
        <v>189</v>
      </c>
      <c r="D60" s="116" t="s">
        <v>521</v>
      </c>
      <c r="E60" s="115"/>
      <c r="F60" s="115">
        <v>189</v>
      </c>
      <c r="G60" s="117" t="s">
        <v>363</v>
      </c>
      <c r="H60" s="118">
        <f t="shared" si="2"/>
        <v>0</v>
      </c>
      <c r="I60" s="118"/>
      <c r="J60" s="118"/>
      <c r="K60" s="119"/>
      <c r="L60" s="123"/>
      <c r="M60" s="118"/>
      <c r="N60" s="118"/>
    </row>
    <row r="61" spans="1:14" s="128" customFormat="1" ht="15" customHeight="1">
      <c r="A61" s="136" t="s">
        <v>134</v>
      </c>
      <c r="B61" s="115"/>
      <c r="C61" s="115">
        <v>189</v>
      </c>
      <c r="D61" s="116" t="s">
        <v>521</v>
      </c>
      <c r="E61" s="115"/>
      <c r="F61" s="115">
        <v>189</v>
      </c>
      <c r="G61" s="117" t="s">
        <v>363</v>
      </c>
      <c r="H61" s="118">
        <f t="shared" si="2"/>
        <v>0</v>
      </c>
      <c r="I61" s="118"/>
      <c r="J61" s="118"/>
      <c r="K61" s="119"/>
      <c r="L61" s="123"/>
      <c r="M61" s="118"/>
      <c r="N61" s="118"/>
    </row>
    <row r="62" spans="1:14" s="128" customFormat="1" ht="24" customHeight="1">
      <c r="A62" s="114" t="s">
        <v>211</v>
      </c>
      <c r="B62" s="115">
        <v>180</v>
      </c>
      <c r="C62" s="115">
        <v>400</v>
      </c>
      <c r="D62" s="116" t="s">
        <v>521</v>
      </c>
      <c r="E62" s="115" t="s">
        <v>74</v>
      </c>
      <c r="F62" s="115">
        <v>400</v>
      </c>
      <c r="G62" s="117" t="s">
        <v>363</v>
      </c>
      <c r="H62" s="118">
        <f t="shared" si="2"/>
        <v>0</v>
      </c>
      <c r="I62" s="115" t="s">
        <v>74</v>
      </c>
      <c r="J62" s="115" t="s">
        <v>74</v>
      </c>
      <c r="K62" s="115" t="s">
        <v>74</v>
      </c>
      <c r="L62" s="115" t="s">
        <v>74</v>
      </c>
      <c r="M62" s="118">
        <f>M63+M64+M65+M67+M66</f>
        <v>0</v>
      </c>
      <c r="N62" s="115" t="s">
        <v>74</v>
      </c>
    </row>
    <row r="63" spans="1:14" s="128" customFormat="1" ht="24" customHeight="1">
      <c r="A63" s="137" t="s">
        <v>374</v>
      </c>
      <c r="B63" s="115"/>
      <c r="C63" s="115">
        <v>410</v>
      </c>
      <c r="D63" s="116" t="s">
        <v>521</v>
      </c>
      <c r="E63" s="115"/>
      <c r="F63" s="115">
        <v>410</v>
      </c>
      <c r="G63" s="117" t="s">
        <v>363</v>
      </c>
      <c r="H63" s="118">
        <f t="shared" si="2"/>
        <v>0</v>
      </c>
      <c r="I63" s="118"/>
      <c r="J63" s="118"/>
      <c r="K63" s="119"/>
      <c r="L63" s="123"/>
      <c r="M63" s="118"/>
      <c r="N63" s="118"/>
    </row>
    <row r="64" spans="1:14" s="128" customFormat="1" ht="24" customHeight="1">
      <c r="A64" s="137" t="s">
        <v>375</v>
      </c>
      <c r="B64" s="115"/>
      <c r="C64" s="115">
        <v>420</v>
      </c>
      <c r="D64" s="116" t="s">
        <v>521</v>
      </c>
      <c r="E64" s="115"/>
      <c r="F64" s="115">
        <v>420</v>
      </c>
      <c r="G64" s="117" t="s">
        <v>363</v>
      </c>
      <c r="H64" s="118">
        <f t="shared" si="2"/>
        <v>0</v>
      </c>
      <c r="I64" s="118"/>
      <c r="J64" s="118"/>
      <c r="K64" s="119"/>
      <c r="L64" s="123"/>
      <c r="M64" s="118"/>
      <c r="N64" s="118"/>
    </row>
    <row r="65" spans="1:14" s="128" customFormat="1" ht="24" customHeight="1">
      <c r="A65" s="137" t="s">
        <v>376</v>
      </c>
      <c r="B65" s="115"/>
      <c r="C65" s="115">
        <v>430</v>
      </c>
      <c r="D65" s="116" t="s">
        <v>521</v>
      </c>
      <c r="E65" s="115"/>
      <c r="F65" s="115">
        <v>430</v>
      </c>
      <c r="G65" s="117" t="s">
        <v>363</v>
      </c>
      <c r="H65" s="118">
        <f t="shared" si="2"/>
        <v>0</v>
      </c>
      <c r="I65" s="118"/>
      <c r="J65" s="118"/>
      <c r="K65" s="119"/>
      <c r="L65" s="123"/>
      <c r="M65" s="118"/>
      <c r="N65" s="118"/>
    </row>
    <row r="66" spans="1:14" s="121" customFormat="1" ht="24" customHeight="1">
      <c r="A66" s="137" t="s">
        <v>425</v>
      </c>
      <c r="B66" s="115"/>
      <c r="C66" s="115">
        <v>440</v>
      </c>
      <c r="D66" s="116" t="s">
        <v>521</v>
      </c>
      <c r="E66" s="115"/>
      <c r="F66" s="115">
        <v>440</v>
      </c>
      <c r="G66" s="117" t="s">
        <v>363</v>
      </c>
      <c r="H66" s="118">
        <f>M66</f>
        <v>0</v>
      </c>
      <c r="I66" s="118"/>
      <c r="J66" s="118"/>
      <c r="K66" s="119"/>
      <c r="L66" s="123"/>
      <c r="M66" s="118"/>
      <c r="N66" s="118"/>
    </row>
    <row r="67" spans="1:14" s="128" customFormat="1" ht="24" customHeight="1">
      <c r="A67" s="137" t="s">
        <v>377</v>
      </c>
      <c r="B67" s="115"/>
      <c r="C67" s="115">
        <v>450</v>
      </c>
      <c r="D67" s="116" t="s">
        <v>521</v>
      </c>
      <c r="E67" s="115"/>
      <c r="F67" s="115">
        <v>450</v>
      </c>
      <c r="G67" s="117" t="s">
        <v>363</v>
      </c>
      <c r="H67" s="118">
        <f t="shared" si="2"/>
        <v>0</v>
      </c>
      <c r="I67" s="118"/>
      <c r="J67" s="118"/>
      <c r="K67" s="119"/>
      <c r="L67" s="123"/>
      <c r="M67" s="118"/>
      <c r="N67" s="118"/>
    </row>
    <row r="68" spans="1:14" s="8" customFormat="1" ht="11.25" customHeight="1">
      <c r="A68" s="138" t="s">
        <v>44</v>
      </c>
      <c r="B68" s="139">
        <v>200</v>
      </c>
      <c r="C68" s="139"/>
      <c r="D68" s="139"/>
      <c r="E68" s="139"/>
      <c r="F68" s="140"/>
      <c r="G68" s="140"/>
      <c r="H68" s="141">
        <f aca="true" t="shared" si="3" ref="H68:N68">H70+H89+H99+H113+H114+H118</f>
        <v>49242626.391147</v>
      </c>
      <c r="I68" s="141">
        <f t="shared" si="3"/>
        <v>32719462.64</v>
      </c>
      <c r="J68" s="141">
        <f t="shared" si="3"/>
        <v>5320506.811147001</v>
      </c>
      <c r="K68" s="141">
        <f t="shared" si="3"/>
        <v>0</v>
      </c>
      <c r="L68" s="141">
        <f t="shared" si="3"/>
        <v>0</v>
      </c>
      <c r="M68" s="141">
        <f>M70+M89+M99+M113+M114+M118</f>
        <v>11202656.940000001</v>
      </c>
      <c r="N68" s="141">
        <f t="shared" si="3"/>
        <v>0</v>
      </c>
    </row>
    <row r="69" spans="1:14" s="8" customFormat="1" ht="13.5" customHeight="1">
      <c r="A69" s="142" t="s">
        <v>4</v>
      </c>
      <c r="B69" s="109"/>
      <c r="C69" s="109"/>
      <c r="D69" s="109"/>
      <c r="E69" s="109"/>
      <c r="F69" s="109"/>
      <c r="G69" s="110"/>
      <c r="H69" s="125"/>
      <c r="I69" s="125"/>
      <c r="J69" s="125"/>
      <c r="K69" s="113"/>
      <c r="L69" s="113"/>
      <c r="M69" s="113"/>
      <c r="N69" s="113"/>
    </row>
    <row r="70" spans="1:14" s="162" customFormat="1" ht="13.5" customHeight="1">
      <c r="A70" s="177" t="s">
        <v>296</v>
      </c>
      <c r="B70" s="175">
        <v>210</v>
      </c>
      <c r="C70" s="175"/>
      <c r="D70" s="175"/>
      <c r="E70" s="175"/>
      <c r="F70" s="175"/>
      <c r="G70" s="178"/>
      <c r="H70" s="161">
        <f>H72+SUM(H79:H88)</f>
        <v>33334800.44</v>
      </c>
      <c r="I70" s="161">
        <f>I72+SUM(I79:I88)</f>
        <v>23641752.91</v>
      </c>
      <c r="J70" s="161">
        <f>J72+SUM(J79:J88)</f>
        <v>3839431.83</v>
      </c>
      <c r="K70" s="161">
        <f>K72</f>
        <v>0</v>
      </c>
      <c r="L70" s="161">
        <f>L72</f>
        <v>0</v>
      </c>
      <c r="M70" s="161">
        <f>M72+SUM(M79:M88)</f>
        <v>5853615.7</v>
      </c>
      <c r="N70" s="161">
        <f>N72</f>
        <v>0</v>
      </c>
    </row>
    <row r="71" spans="1:14" s="8" customFormat="1" ht="13.5" customHeight="1">
      <c r="A71" s="143" t="s">
        <v>3</v>
      </c>
      <c r="B71" s="115"/>
      <c r="C71" s="115"/>
      <c r="D71" s="115"/>
      <c r="E71" s="115"/>
      <c r="F71" s="115"/>
      <c r="G71" s="122"/>
      <c r="H71" s="118"/>
      <c r="I71" s="125"/>
      <c r="J71" s="125"/>
      <c r="K71" s="113"/>
      <c r="L71" s="113"/>
      <c r="M71" s="113"/>
      <c r="N71" s="113"/>
    </row>
    <row r="72" spans="1:14" s="162" customFormat="1" ht="25.5" customHeight="1">
      <c r="A72" s="157" t="s">
        <v>297</v>
      </c>
      <c r="B72" s="158">
        <v>211</v>
      </c>
      <c r="C72" s="158"/>
      <c r="D72" s="158"/>
      <c r="E72" s="158"/>
      <c r="F72" s="158"/>
      <c r="G72" s="159"/>
      <c r="H72" s="160">
        <f aca="true" t="shared" si="4" ref="H72:M72">SUM(H74:H78)</f>
        <v>25347612.85</v>
      </c>
      <c r="I72" s="160">
        <f t="shared" si="4"/>
        <v>18060150.53</v>
      </c>
      <c r="J72" s="160">
        <f>SUM(J74:J78)</f>
        <v>2791597.58</v>
      </c>
      <c r="K72" s="160">
        <f t="shared" si="4"/>
        <v>0</v>
      </c>
      <c r="L72" s="160">
        <f t="shared" si="4"/>
        <v>0</v>
      </c>
      <c r="M72" s="160">
        <f t="shared" si="4"/>
        <v>4495864.74</v>
      </c>
      <c r="N72" s="161">
        <f>N74+N79+N82+N84</f>
        <v>0</v>
      </c>
    </row>
    <row r="73" spans="1:14" s="8" customFormat="1" ht="16.5" customHeight="1">
      <c r="A73" s="143" t="s">
        <v>4</v>
      </c>
      <c r="B73" s="115"/>
      <c r="C73" s="115"/>
      <c r="D73" s="115"/>
      <c r="E73" s="115"/>
      <c r="F73" s="115"/>
      <c r="G73" s="122"/>
      <c r="H73" s="118"/>
      <c r="I73" s="125"/>
      <c r="J73" s="125"/>
      <c r="K73" s="113"/>
      <c r="L73" s="113"/>
      <c r="M73" s="113"/>
      <c r="N73" s="113"/>
    </row>
    <row r="74" spans="1:14" s="8" customFormat="1" ht="16.5" customHeight="1">
      <c r="A74" s="143" t="s">
        <v>298</v>
      </c>
      <c r="B74" s="115"/>
      <c r="C74" s="115">
        <v>211</v>
      </c>
      <c r="D74" s="116" t="s">
        <v>522</v>
      </c>
      <c r="E74" s="115">
        <v>111</v>
      </c>
      <c r="F74" s="115">
        <v>211</v>
      </c>
      <c r="G74" s="102" t="s">
        <v>523</v>
      </c>
      <c r="H74" s="118">
        <f>I74+J74+K74+L74+M74+N74</f>
        <v>18060150.53</v>
      </c>
      <c r="I74" s="125">
        <f>'ФЭО МЗ'!J20</f>
        <v>18060150.53</v>
      </c>
      <c r="J74" s="125"/>
      <c r="K74" s="113"/>
      <c r="L74" s="113"/>
      <c r="M74" s="113"/>
      <c r="N74" s="113"/>
    </row>
    <row r="75" spans="1:14" s="8" customFormat="1" ht="16.5" customHeight="1">
      <c r="A75" s="143" t="s">
        <v>298</v>
      </c>
      <c r="B75" s="115"/>
      <c r="C75" s="115">
        <v>211</v>
      </c>
      <c r="D75" s="115">
        <v>901480000</v>
      </c>
      <c r="E75" s="115">
        <v>111</v>
      </c>
      <c r="F75" s="115">
        <v>211</v>
      </c>
      <c r="G75" s="102" t="s">
        <v>523</v>
      </c>
      <c r="H75" s="118">
        <f>SUM(I75:J75)</f>
        <v>1598344.58</v>
      </c>
      <c r="I75" s="125"/>
      <c r="J75" s="125">
        <f>1291679.72-7680.49+314345.35</f>
        <v>1598344.58</v>
      </c>
      <c r="K75" s="113"/>
      <c r="L75" s="113"/>
      <c r="M75" s="113"/>
      <c r="N75" s="113"/>
    </row>
    <row r="76" spans="1:14" s="8" customFormat="1" ht="16.5" customHeight="1">
      <c r="A76" s="143" t="s">
        <v>298</v>
      </c>
      <c r="B76" s="115"/>
      <c r="C76" s="115">
        <v>211</v>
      </c>
      <c r="D76" s="115">
        <v>901160000</v>
      </c>
      <c r="E76" s="115">
        <v>111</v>
      </c>
      <c r="F76" s="115">
        <v>211</v>
      </c>
      <c r="G76" s="102" t="s">
        <v>523</v>
      </c>
      <c r="H76" s="118">
        <f>SUM(I76:J76)</f>
        <v>753495.68</v>
      </c>
      <c r="I76" s="125"/>
      <c r="J76" s="125">
        <f>729373.27-3668.08+27790.49</f>
        <v>753495.68</v>
      </c>
      <c r="K76" s="113"/>
      <c r="L76" s="113"/>
      <c r="M76" s="113"/>
      <c r="N76" s="113"/>
    </row>
    <row r="77" spans="1:14" s="8" customFormat="1" ht="16.5" customHeight="1">
      <c r="A77" s="143" t="s">
        <v>298</v>
      </c>
      <c r="B77" s="115"/>
      <c r="C77" s="115">
        <v>211</v>
      </c>
      <c r="D77" s="115">
        <v>901830000</v>
      </c>
      <c r="E77" s="115">
        <v>111</v>
      </c>
      <c r="F77" s="115">
        <v>211</v>
      </c>
      <c r="G77" s="102" t="s">
        <v>523</v>
      </c>
      <c r="H77" s="118">
        <f>SUM(I77:J77)</f>
        <v>439757.32</v>
      </c>
      <c r="I77" s="125"/>
      <c r="J77" s="125">
        <f>408936.68+2.1+30817.51+1.03</f>
        <v>439757.32</v>
      </c>
      <c r="K77" s="113"/>
      <c r="L77" s="113"/>
      <c r="M77" s="113"/>
      <c r="N77" s="113"/>
    </row>
    <row r="78" spans="1:14" s="8" customFormat="1" ht="16.5" customHeight="1">
      <c r="A78" s="143" t="s">
        <v>298</v>
      </c>
      <c r="B78" s="115"/>
      <c r="C78" s="115">
        <v>211</v>
      </c>
      <c r="D78" s="116" t="s">
        <v>521</v>
      </c>
      <c r="E78" s="115">
        <v>111</v>
      </c>
      <c r="F78" s="115">
        <v>211</v>
      </c>
      <c r="G78" s="102" t="s">
        <v>530</v>
      </c>
      <c r="H78" s="118">
        <f>SUM(I78:M78)</f>
        <v>4495864.74</v>
      </c>
      <c r="I78" s="125"/>
      <c r="J78" s="125"/>
      <c r="K78" s="113"/>
      <c r="L78" s="113"/>
      <c r="M78" s="113">
        <f>'ФЭО СС'!J20</f>
        <v>4495864.74</v>
      </c>
      <c r="N78" s="113"/>
    </row>
    <row r="79" spans="1:14" s="8" customFormat="1" ht="16.5" customHeight="1">
      <c r="A79" s="143" t="s">
        <v>299</v>
      </c>
      <c r="B79" s="115"/>
      <c r="C79" s="115">
        <v>266</v>
      </c>
      <c r="D79" s="116" t="s">
        <v>522</v>
      </c>
      <c r="E79" s="115">
        <v>111</v>
      </c>
      <c r="F79" s="115">
        <v>266</v>
      </c>
      <c r="G79" s="102" t="s">
        <v>523</v>
      </c>
      <c r="H79" s="118">
        <f>I79+J79+K79+L79+M79+N79</f>
        <v>127432.87</v>
      </c>
      <c r="I79" s="125">
        <f>'ФЭО МЗ'!J21+'ФЭО МЗ'!J22</f>
        <v>127432.87</v>
      </c>
      <c r="J79" s="125"/>
      <c r="K79" s="113"/>
      <c r="L79" s="113"/>
      <c r="M79" s="113"/>
      <c r="N79" s="113"/>
    </row>
    <row r="80" spans="1:14" s="8" customFormat="1" ht="16.5" customHeight="1">
      <c r="A80" s="143" t="s">
        <v>299</v>
      </c>
      <c r="B80" s="115"/>
      <c r="C80" s="115">
        <v>266</v>
      </c>
      <c r="D80" s="115">
        <v>901480000</v>
      </c>
      <c r="E80" s="115">
        <v>111</v>
      </c>
      <c r="F80" s="115">
        <v>266</v>
      </c>
      <c r="G80" s="102" t="s">
        <v>523</v>
      </c>
      <c r="H80" s="118">
        <f>SUM(I80:J80)</f>
        <v>10000</v>
      </c>
      <c r="I80" s="125"/>
      <c r="J80" s="125">
        <v>10000</v>
      </c>
      <c r="K80" s="113"/>
      <c r="L80" s="113"/>
      <c r="M80" s="113"/>
      <c r="N80" s="113"/>
    </row>
    <row r="81" spans="1:14" s="8" customFormat="1" ht="16.5" customHeight="1">
      <c r="A81" s="143" t="s">
        <v>299</v>
      </c>
      <c r="B81" s="115"/>
      <c r="C81" s="115">
        <v>266</v>
      </c>
      <c r="D81" s="115">
        <v>901160000</v>
      </c>
      <c r="E81" s="115">
        <v>111</v>
      </c>
      <c r="F81" s="115">
        <v>266</v>
      </c>
      <c r="G81" s="102" t="s">
        <v>523</v>
      </c>
      <c r="H81" s="118">
        <f>SUM(I81:J81)</f>
        <v>4775.84</v>
      </c>
      <c r="I81" s="125"/>
      <c r="J81" s="125">
        <v>4775.84</v>
      </c>
      <c r="K81" s="113"/>
      <c r="L81" s="113"/>
      <c r="M81" s="113"/>
      <c r="N81" s="113"/>
    </row>
    <row r="82" spans="1:14" s="8" customFormat="1" ht="54" customHeight="1">
      <c r="A82" s="143" t="s">
        <v>300</v>
      </c>
      <c r="B82" s="115"/>
      <c r="C82" s="115">
        <v>266</v>
      </c>
      <c r="D82" s="115">
        <v>901480000</v>
      </c>
      <c r="E82" s="115">
        <v>112</v>
      </c>
      <c r="F82" s="115">
        <v>266</v>
      </c>
      <c r="G82" s="117" t="s">
        <v>523</v>
      </c>
      <c r="H82" s="179">
        <f>I82+J82+K82+L82+M82+N82</f>
        <v>100000</v>
      </c>
      <c r="I82" s="180"/>
      <c r="J82" s="180">
        <f>'ФЭО ИЦ'!J20</f>
        <v>100000</v>
      </c>
      <c r="K82" s="113"/>
      <c r="L82" s="113"/>
      <c r="M82" s="113"/>
      <c r="N82" s="113"/>
    </row>
    <row r="83" spans="1:14" s="8" customFormat="1" ht="54" customHeight="1">
      <c r="A83" s="143" t="s">
        <v>300</v>
      </c>
      <c r="B83" s="115"/>
      <c r="C83" s="115">
        <v>266</v>
      </c>
      <c r="D83" s="115">
        <v>901170000</v>
      </c>
      <c r="E83" s="115">
        <v>112</v>
      </c>
      <c r="F83" s="115">
        <v>266</v>
      </c>
      <c r="G83" s="117" t="s">
        <v>540</v>
      </c>
      <c r="H83" s="179">
        <f>I83+J83+K83+L83+M83+N83</f>
        <v>90000</v>
      </c>
      <c r="I83" s="180"/>
      <c r="J83" s="180">
        <f>'ФЭО ИЦ'!J21</f>
        <v>90000</v>
      </c>
      <c r="K83" s="113"/>
      <c r="L83" s="113"/>
      <c r="M83" s="113"/>
      <c r="N83" s="113"/>
    </row>
    <row r="84" spans="1:14" s="8" customFormat="1" ht="15.75" customHeight="1">
      <c r="A84" s="143" t="s">
        <v>301</v>
      </c>
      <c r="B84" s="115"/>
      <c r="C84" s="115">
        <v>213</v>
      </c>
      <c r="D84" s="116" t="s">
        <v>522</v>
      </c>
      <c r="E84" s="115">
        <v>119</v>
      </c>
      <c r="F84" s="115">
        <v>213</v>
      </c>
      <c r="G84" s="102" t="s">
        <v>523</v>
      </c>
      <c r="H84" s="118">
        <f>I84+J84+K84+L84+M84+N84</f>
        <v>5454169.51</v>
      </c>
      <c r="I84" s="125">
        <f>'ФЭО МЗ'!G67</f>
        <v>5454169.51</v>
      </c>
      <c r="J84" s="125"/>
      <c r="K84" s="113"/>
      <c r="L84" s="113"/>
      <c r="M84" s="113"/>
      <c r="N84" s="113"/>
    </row>
    <row r="85" spans="1:14" s="8" customFormat="1" ht="15.75" customHeight="1">
      <c r="A85" s="143" t="s">
        <v>301</v>
      </c>
      <c r="B85" s="115"/>
      <c r="C85" s="115">
        <v>213</v>
      </c>
      <c r="D85" s="115">
        <v>901480000</v>
      </c>
      <c r="E85" s="115">
        <v>119</v>
      </c>
      <c r="F85" s="115">
        <v>213</v>
      </c>
      <c r="G85" s="102" t="s">
        <v>523</v>
      </c>
      <c r="H85" s="118">
        <f>SUM(I85:J85)</f>
        <v>482700.07</v>
      </c>
      <c r="I85" s="125"/>
      <c r="J85" s="125">
        <f>390087.28-2319.51+94932.3</f>
        <v>482700.07</v>
      </c>
      <c r="K85" s="113"/>
      <c r="L85" s="113"/>
      <c r="M85" s="113"/>
      <c r="N85" s="113"/>
    </row>
    <row r="86" spans="1:14" s="8" customFormat="1" ht="15.75" customHeight="1">
      <c r="A86" s="143" t="s">
        <v>301</v>
      </c>
      <c r="B86" s="115"/>
      <c r="C86" s="115">
        <v>213</v>
      </c>
      <c r="D86" s="115">
        <v>901160000</v>
      </c>
      <c r="E86" s="115">
        <v>119</v>
      </c>
      <c r="F86" s="115">
        <v>213</v>
      </c>
      <c r="G86" s="102" t="s">
        <v>523</v>
      </c>
      <c r="H86" s="118">
        <f>SUM(I86:J86)</f>
        <v>227555.7</v>
      </c>
      <c r="I86" s="125"/>
      <c r="J86" s="125">
        <f>220270.73-1107.76+8392.73</f>
        <v>227555.7</v>
      </c>
      <c r="K86" s="113"/>
      <c r="L86" s="113"/>
      <c r="M86" s="113"/>
      <c r="N86" s="113"/>
    </row>
    <row r="87" spans="1:14" s="8" customFormat="1" ht="15.75" customHeight="1">
      <c r="A87" s="143" t="s">
        <v>301</v>
      </c>
      <c r="B87" s="115"/>
      <c r="C87" s="115">
        <v>213</v>
      </c>
      <c r="D87" s="115">
        <v>901830000</v>
      </c>
      <c r="E87" s="115">
        <v>119</v>
      </c>
      <c r="F87" s="115">
        <v>213</v>
      </c>
      <c r="G87" s="102" t="s">
        <v>523</v>
      </c>
      <c r="H87" s="118">
        <f>SUM(I87:J87)</f>
        <v>132802.63999999998</v>
      </c>
      <c r="I87" s="125"/>
      <c r="J87" s="125">
        <f>123498.88-2.1+9306.89-1.03</f>
        <v>132802.63999999998</v>
      </c>
      <c r="K87" s="113"/>
      <c r="L87" s="113"/>
      <c r="M87" s="113"/>
      <c r="N87" s="113"/>
    </row>
    <row r="88" spans="1:14" s="8" customFormat="1" ht="15.75" customHeight="1">
      <c r="A88" s="143" t="s">
        <v>301</v>
      </c>
      <c r="B88" s="115"/>
      <c r="C88" s="115">
        <v>213</v>
      </c>
      <c r="D88" s="116" t="s">
        <v>521</v>
      </c>
      <c r="E88" s="115">
        <v>119</v>
      </c>
      <c r="F88" s="115">
        <v>213</v>
      </c>
      <c r="G88" s="102" t="s">
        <v>530</v>
      </c>
      <c r="H88" s="118">
        <f>SUM(I88:M88)</f>
        <v>1357750.9600000002</v>
      </c>
      <c r="I88" s="125"/>
      <c r="J88" s="125"/>
      <c r="K88" s="113"/>
      <c r="L88" s="113"/>
      <c r="M88" s="113">
        <f>'ФЭО СС'!F58</f>
        <v>1357750.9600000002</v>
      </c>
      <c r="N88" s="113"/>
    </row>
    <row r="89" spans="1:14" s="162" customFormat="1" ht="23.25" customHeight="1">
      <c r="A89" s="157" t="s">
        <v>399</v>
      </c>
      <c r="B89" s="158">
        <v>220</v>
      </c>
      <c r="C89" s="158"/>
      <c r="D89" s="158"/>
      <c r="E89" s="158"/>
      <c r="F89" s="158"/>
      <c r="G89" s="158"/>
      <c r="H89" s="163">
        <f>SUM(I89:M89)</f>
        <v>1591074.981147</v>
      </c>
      <c r="I89" s="164">
        <f>SUM(I91:I95)</f>
        <v>110000</v>
      </c>
      <c r="J89" s="164">
        <f>SUM(J91:J96)</f>
        <v>1481074.981147</v>
      </c>
      <c r="K89" s="164">
        <f>K91+K94+K96+K97+K98</f>
        <v>0</v>
      </c>
      <c r="L89" s="164">
        <f>L91+L94+L96+L97+L98</f>
        <v>0</v>
      </c>
      <c r="M89" s="164">
        <f>M91+M94+M96+M97+M98</f>
        <v>0</v>
      </c>
      <c r="N89" s="164">
        <f>N91+N94+N96+N97+N98</f>
        <v>0</v>
      </c>
    </row>
    <row r="90" spans="1:14" s="8" customFormat="1" ht="13.5" customHeight="1">
      <c r="A90" s="143" t="s">
        <v>3</v>
      </c>
      <c r="B90" s="115"/>
      <c r="C90" s="115"/>
      <c r="D90" s="115"/>
      <c r="E90" s="115"/>
      <c r="F90" s="115"/>
      <c r="G90" s="122"/>
      <c r="H90" s="118"/>
      <c r="I90" s="125"/>
      <c r="J90" s="125"/>
      <c r="K90" s="113"/>
      <c r="L90" s="113"/>
      <c r="M90" s="113"/>
      <c r="N90" s="113"/>
    </row>
    <row r="91" spans="1:14" s="8" customFormat="1" ht="39" customHeight="1">
      <c r="A91" s="144" t="s">
        <v>302</v>
      </c>
      <c r="B91" s="145"/>
      <c r="C91" s="146">
        <v>263</v>
      </c>
      <c r="D91" s="115">
        <v>901140000</v>
      </c>
      <c r="E91" s="115">
        <v>323</v>
      </c>
      <c r="F91" s="146">
        <v>263</v>
      </c>
      <c r="G91" s="117" t="s">
        <v>523</v>
      </c>
      <c r="H91" s="118">
        <f aca="true" t="shared" si="5" ref="H91:H98">I91+J91+K91+L91+M91+N91</f>
        <v>124511</v>
      </c>
      <c r="I91" s="125"/>
      <c r="J91" s="125">
        <v>124511</v>
      </c>
      <c r="K91" s="113"/>
      <c r="L91" s="113"/>
      <c r="M91" s="113"/>
      <c r="N91" s="113"/>
    </row>
    <row r="92" spans="1:14" s="8" customFormat="1" ht="39" customHeight="1">
      <c r="A92" s="144" t="s">
        <v>302</v>
      </c>
      <c r="B92" s="145"/>
      <c r="C92" s="146">
        <v>263</v>
      </c>
      <c r="D92" s="115">
        <v>901150000</v>
      </c>
      <c r="E92" s="115">
        <v>323</v>
      </c>
      <c r="F92" s="146">
        <v>263</v>
      </c>
      <c r="G92" s="117" t="s">
        <v>523</v>
      </c>
      <c r="H92" s="118">
        <f t="shared" si="5"/>
        <v>449289.981147</v>
      </c>
      <c r="I92" s="125"/>
      <c r="J92" s="125">
        <f>'ФЭО ИЦ'!H80</f>
        <v>449289.981147</v>
      </c>
      <c r="K92" s="113"/>
      <c r="L92" s="113"/>
      <c r="M92" s="113"/>
      <c r="N92" s="113"/>
    </row>
    <row r="93" spans="1:14" s="8" customFormat="1" ht="39" customHeight="1">
      <c r="A93" s="144" t="s">
        <v>302</v>
      </c>
      <c r="B93" s="145"/>
      <c r="C93" s="146">
        <v>263</v>
      </c>
      <c r="D93" s="115">
        <v>901210000</v>
      </c>
      <c r="E93" s="148">
        <v>323</v>
      </c>
      <c r="F93" s="146">
        <v>263</v>
      </c>
      <c r="G93" s="117" t="s">
        <v>518</v>
      </c>
      <c r="H93" s="118">
        <f t="shared" si="5"/>
        <v>876777</v>
      </c>
      <c r="I93" s="125"/>
      <c r="J93" s="125">
        <v>876777</v>
      </c>
      <c r="K93" s="113"/>
      <c r="L93" s="113"/>
      <c r="M93" s="113"/>
      <c r="N93" s="113"/>
    </row>
    <row r="94" spans="1:14" s="8" customFormat="1" ht="32.25" customHeight="1">
      <c r="A94" s="137" t="s">
        <v>39</v>
      </c>
      <c r="B94" s="115"/>
      <c r="C94" s="115">
        <v>262</v>
      </c>
      <c r="D94" s="115">
        <v>901140000</v>
      </c>
      <c r="E94" s="115">
        <v>321</v>
      </c>
      <c r="F94" s="115">
        <v>262</v>
      </c>
      <c r="G94" s="147" t="s">
        <v>523</v>
      </c>
      <c r="H94" s="118">
        <f t="shared" si="5"/>
        <v>30497</v>
      </c>
      <c r="I94" s="125"/>
      <c r="J94" s="125">
        <v>30497</v>
      </c>
      <c r="K94" s="113"/>
      <c r="L94" s="113"/>
      <c r="M94" s="113"/>
      <c r="N94" s="113"/>
    </row>
    <row r="95" spans="1:14" s="8" customFormat="1" ht="38.25" customHeight="1">
      <c r="A95" s="409" t="s">
        <v>763</v>
      </c>
      <c r="B95" s="115"/>
      <c r="C95" s="115">
        <v>264</v>
      </c>
      <c r="D95" s="115">
        <v>800000000</v>
      </c>
      <c r="E95" s="115">
        <v>321</v>
      </c>
      <c r="F95" s="115">
        <v>264</v>
      </c>
      <c r="G95" s="147" t="s">
        <v>523</v>
      </c>
      <c r="H95" s="118">
        <f t="shared" si="5"/>
        <v>110000</v>
      </c>
      <c r="I95" s="125">
        <v>110000</v>
      </c>
      <c r="J95" s="125"/>
      <c r="K95" s="113"/>
      <c r="L95" s="113"/>
      <c r="M95" s="113"/>
      <c r="N95" s="113"/>
    </row>
    <row r="96" spans="1:14" s="8" customFormat="1" ht="15.75" customHeight="1">
      <c r="A96" s="137" t="s">
        <v>303</v>
      </c>
      <c r="B96" s="115"/>
      <c r="C96" s="115"/>
      <c r="D96" s="115"/>
      <c r="E96" s="115"/>
      <c r="F96" s="115"/>
      <c r="G96" s="122"/>
      <c r="H96" s="118">
        <f t="shared" si="5"/>
        <v>0</v>
      </c>
      <c r="I96" s="125"/>
      <c r="J96" s="125"/>
      <c r="K96" s="113"/>
      <c r="L96" s="113"/>
      <c r="M96" s="113"/>
      <c r="N96" s="113"/>
    </row>
    <row r="97" spans="1:14" s="8" customFormat="1" ht="15.75" customHeight="1">
      <c r="A97" s="137" t="s">
        <v>304</v>
      </c>
      <c r="B97" s="115"/>
      <c r="C97" s="115">
        <v>290</v>
      </c>
      <c r="D97" s="115"/>
      <c r="E97" s="115">
        <v>350</v>
      </c>
      <c r="F97" s="115">
        <v>290</v>
      </c>
      <c r="G97" s="122"/>
      <c r="H97" s="118">
        <f t="shared" si="5"/>
        <v>0</v>
      </c>
      <c r="I97" s="125"/>
      <c r="J97" s="125"/>
      <c r="K97" s="113"/>
      <c r="L97" s="113"/>
      <c r="M97" s="113"/>
      <c r="N97" s="113"/>
    </row>
    <row r="98" spans="1:14" s="8" customFormat="1" ht="15.75" customHeight="1">
      <c r="A98" s="137" t="s">
        <v>305</v>
      </c>
      <c r="B98" s="115"/>
      <c r="C98" s="115"/>
      <c r="D98" s="115"/>
      <c r="E98" s="115"/>
      <c r="F98" s="115"/>
      <c r="G98" s="122"/>
      <c r="H98" s="118">
        <f t="shared" si="5"/>
        <v>0</v>
      </c>
      <c r="I98" s="125"/>
      <c r="J98" s="125"/>
      <c r="K98" s="113"/>
      <c r="L98" s="113"/>
      <c r="M98" s="113"/>
      <c r="N98" s="113"/>
    </row>
    <row r="99" spans="1:14" s="162" customFormat="1" ht="21.75" customHeight="1">
      <c r="A99" s="165" t="s">
        <v>306</v>
      </c>
      <c r="B99" s="158">
        <v>230</v>
      </c>
      <c r="C99" s="158"/>
      <c r="D99" s="158"/>
      <c r="E99" s="158"/>
      <c r="F99" s="158"/>
      <c r="G99" s="159"/>
      <c r="H99" s="160">
        <f>H100</f>
        <v>3283431</v>
      </c>
      <c r="I99" s="160">
        <f>I100</f>
        <v>2959713</v>
      </c>
      <c r="J99" s="160">
        <f>J100</f>
        <v>0</v>
      </c>
      <c r="K99" s="161">
        <f>K100+K103</f>
        <v>0</v>
      </c>
      <c r="L99" s="161">
        <f>L100+L103</f>
        <v>0</v>
      </c>
      <c r="M99" s="160">
        <f>M100</f>
        <v>323718</v>
      </c>
      <c r="N99" s="160">
        <f>N100</f>
        <v>0</v>
      </c>
    </row>
    <row r="100" spans="1:14" s="8" customFormat="1" ht="15.75" customHeight="1">
      <c r="A100" s="143" t="s">
        <v>3</v>
      </c>
      <c r="B100" s="115"/>
      <c r="C100" s="115"/>
      <c r="D100" s="115"/>
      <c r="E100" s="115"/>
      <c r="F100" s="115"/>
      <c r="G100" s="122"/>
      <c r="H100" s="118">
        <f>H101+H102</f>
        <v>3283431</v>
      </c>
      <c r="I100" s="125">
        <f aca="true" t="shared" si="6" ref="I100:N100">I101+I102</f>
        <v>2959713</v>
      </c>
      <c r="J100" s="125">
        <f t="shared" si="6"/>
        <v>0</v>
      </c>
      <c r="K100" s="125">
        <f t="shared" si="6"/>
        <v>0</v>
      </c>
      <c r="L100" s="125">
        <f t="shared" si="6"/>
        <v>0</v>
      </c>
      <c r="M100" s="125">
        <f>M101+M102</f>
        <v>323718</v>
      </c>
      <c r="N100" s="125">
        <f t="shared" si="6"/>
        <v>0</v>
      </c>
    </row>
    <row r="101" spans="1:14" s="8" customFormat="1" ht="15.75" customHeight="1">
      <c r="A101" s="143" t="s">
        <v>307</v>
      </c>
      <c r="B101" s="115"/>
      <c r="C101" s="115">
        <v>290</v>
      </c>
      <c r="D101" s="115"/>
      <c r="E101" s="115">
        <v>831</v>
      </c>
      <c r="F101" s="115">
        <v>290</v>
      </c>
      <c r="G101" s="122"/>
      <c r="H101" s="118">
        <f>I101+J101+K101+L101+M101+N101</f>
        <v>0</v>
      </c>
      <c r="I101" s="125"/>
      <c r="J101" s="125"/>
      <c r="K101" s="113"/>
      <c r="L101" s="113"/>
      <c r="M101" s="113"/>
      <c r="N101" s="113"/>
    </row>
    <row r="102" spans="1:14" s="8" customFormat="1" ht="15.75" customHeight="1">
      <c r="A102" s="143" t="s">
        <v>308</v>
      </c>
      <c r="B102" s="115"/>
      <c r="C102" s="115">
        <v>290</v>
      </c>
      <c r="D102" s="115"/>
      <c r="E102" s="115">
        <v>850</v>
      </c>
      <c r="F102" s="115">
        <v>290</v>
      </c>
      <c r="G102" s="122"/>
      <c r="H102" s="118">
        <f>SUM(H104:H112)</f>
        <v>3283431</v>
      </c>
      <c r="I102" s="118">
        <f>SUM(I104:I112)</f>
        <v>2959713</v>
      </c>
      <c r="J102" s="125"/>
      <c r="K102" s="113"/>
      <c r="L102" s="113"/>
      <c r="M102" s="118">
        <f>SUM(M104:M112)</f>
        <v>323718</v>
      </c>
      <c r="N102" s="113"/>
    </row>
    <row r="103" spans="1:14" s="8" customFormat="1" ht="15.75" customHeight="1">
      <c r="A103" s="143" t="s">
        <v>4</v>
      </c>
      <c r="B103" s="115"/>
      <c r="C103" s="115"/>
      <c r="D103" s="115"/>
      <c r="E103" s="115"/>
      <c r="F103" s="115"/>
      <c r="G103" s="122"/>
      <c r="H103" s="118"/>
      <c r="I103" s="125"/>
      <c r="J103" s="125"/>
      <c r="K103" s="125">
        <f>K104+K106+K107+K108+K109+K110+K111+K112</f>
        <v>0</v>
      </c>
      <c r="L103" s="125">
        <f>L104+L106+L107+L108+L109+L110+L111+L112</f>
        <v>0</v>
      </c>
      <c r="M103" s="125"/>
      <c r="N103" s="125"/>
    </row>
    <row r="104" spans="1:14" s="8" customFormat="1" ht="26.25" customHeight="1">
      <c r="A104" s="143" t="s">
        <v>309</v>
      </c>
      <c r="B104" s="115"/>
      <c r="C104" s="115">
        <v>291</v>
      </c>
      <c r="D104" s="116" t="s">
        <v>522</v>
      </c>
      <c r="E104" s="115">
        <v>851</v>
      </c>
      <c r="F104" s="115">
        <v>291</v>
      </c>
      <c r="G104" s="117" t="s">
        <v>516</v>
      </c>
      <c r="H104" s="118">
        <f>I104+J104+K104+L104+M104+N104</f>
        <v>2959713</v>
      </c>
      <c r="I104" s="125">
        <f>'ФЭО МЗ'!H101</f>
        <v>2959713</v>
      </c>
      <c r="J104" s="125"/>
      <c r="K104" s="113"/>
      <c r="L104" s="113"/>
      <c r="M104" s="113">
        <v>0</v>
      </c>
      <c r="N104" s="113"/>
    </row>
    <row r="105" spans="1:14" s="8" customFormat="1" ht="26.25" customHeight="1">
      <c r="A105" s="143" t="s">
        <v>309</v>
      </c>
      <c r="B105" s="115"/>
      <c r="C105" s="115">
        <v>291</v>
      </c>
      <c r="D105" s="116" t="s">
        <v>521</v>
      </c>
      <c r="E105" s="115">
        <v>851</v>
      </c>
      <c r="F105" s="115">
        <v>291</v>
      </c>
      <c r="G105" s="117" t="s">
        <v>530</v>
      </c>
      <c r="H105" s="118">
        <f>I105+J105+K105+L105+M105+N105</f>
        <v>292718</v>
      </c>
      <c r="I105" s="125">
        <v>0</v>
      </c>
      <c r="J105" s="125"/>
      <c r="K105" s="113"/>
      <c r="L105" s="113"/>
      <c r="M105" s="113">
        <f>'ФЭО СС'!G86</f>
        <v>292718</v>
      </c>
      <c r="N105" s="113"/>
    </row>
    <row r="106" spans="1:15" s="8" customFormat="1" ht="15" customHeight="1">
      <c r="A106" s="143" t="s">
        <v>357</v>
      </c>
      <c r="B106" s="115"/>
      <c r="C106" s="115">
        <v>291</v>
      </c>
      <c r="D106" s="115"/>
      <c r="E106" s="115">
        <v>852</v>
      </c>
      <c r="F106" s="115">
        <v>291</v>
      </c>
      <c r="G106" s="122"/>
      <c r="H106" s="118">
        <f aca="true" t="shared" si="7" ref="H106:H113">I106+J106+K106+L106+M106+N106</f>
        <v>0</v>
      </c>
      <c r="I106" s="125"/>
      <c r="J106" s="125"/>
      <c r="K106" s="113"/>
      <c r="L106" s="113"/>
      <c r="M106" s="113"/>
      <c r="N106" s="113"/>
      <c r="O106" s="8" t="s">
        <v>378</v>
      </c>
    </row>
    <row r="107" spans="1:15" s="8" customFormat="1" ht="15" customHeight="1">
      <c r="A107" s="143" t="s">
        <v>310</v>
      </c>
      <c r="B107" s="115"/>
      <c r="C107" s="115">
        <v>291</v>
      </c>
      <c r="D107" s="115"/>
      <c r="E107" s="115">
        <v>853</v>
      </c>
      <c r="F107" s="115">
        <v>291</v>
      </c>
      <c r="G107" s="122"/>
      <c r="H107" s="118">
        <f t="shared" si="7"/>
        <v>0</v>
      </c>
      <c r="I107" s="125"/>
      <c r="J107" s="125"/>
      <c r="K107" s="113"/>
      <c r="L107" s="113"/>
      <c r="M107" s="113"/>
      <c r="N107" s="113"/>
      <c r="O107" s="8" t="s">
        <v>379</v>
      </c>
    </row>
    <row r="108" spans="1:14" s="8" customFormat="1" ht="39.75" customHeight="1">
      <c r="A108" s="143" t="s">
        <v>358</v>
      </c>
      <c r="B108" s="396"/>
      <c r="C108" s="396">
        <v>292</v>
      </c>
      <c r="D108" s="397" t="s">
        <v>521</v>
      </c>
      <c r="E108" s="396">
        <v>853</v>
      </c>
      <c r="F108" s="396">
        <v>292</v>
      </c>
      <c r="G108" s="102" t="s">
        <v>533</v>
      </c>
      <c r="H108" s="118">
        <f t="shared" si="7"/>
        <v>3000</v>
      </c>
      <c r="I108" s="125"/>
      <c r="J108" s="125"/>
      <c r="K108" s="113"/>
      <c r="L108" s="113"/>
      <c r="M108" s="113">
        <f>'ФЭО СС'!G89</f>
        <v>3000</v>
      </c>
      <c r="N108" s="113"/>
    </row>
    <row r="109" spans="1:14" s="8" customFormat="1" ht="31.5" customHeight="1">
      <c r="A109" s="143" t="s">
        <v>359</v>
      </c>
      <c r="B109" s="115"/>
      <c r="C109" s="115">
        <v>293</v>
      </c>
      <c r="D109" s="115"/>
      <c r="E109" s="115">
        <v>853</v>
      </c>
      <c r="F109" s="115">
        <v>293</v>
      </c>
      <c r="G109" s="122"/>
      <c r="H109" s="118">
        <f t="shared" si="7"/>
        <v>0</v>
      </c>
      <c r="I109" s="125"/>
      <c r="J109" s="125"/>
      <c r="K109" s="113"/>
      <c r="L109" s="113"/>
      <c r="M109" s="113"/>
      <c r="N109" s="113"/>
    </row>
    <row r="110" spans="1:14" s="8" customFormat="1" ht="26.25" customHeight="1">
      <c r="A110" s="143" t="s">
        <v>360</v>
      </c>
      <c r="B110" s="115"/>
      <c r="C110" s="115">
        <v>294</v>
      </c>
      <c r="D110" s="115"/>
      <c r="E110" s="115">
        <v>853</v>
      </c>
      <c r="F110" s="115">
        <v>294</v>
      </c>
      <c r="G110" s="122"/>
      <c r="H110" s="118">
        <f t="shared" si="7"/>
        <v>0</v>
      </c>
      <c r="I110" s="125"/>
      <c r="J110" s="125"/>
      <c r="K110" s="113"/>
      <c r="L110" s="113"/>
      <c r="M110" s="113"/>
      <c r="N110" s="113"/>
    </row>
    <row r="111" spans="1:14" s="8" customFormat="1" ht="20.25" customHeight="1">
      <c r="A111" s="143" t="s">
        <v>361</v>
      </c>
      <c r="B111" s="115"/>
      <c r="C111" s="115">
        <v>295</v>
      </c>
      <c r="D111" s="115"/>
      <c r="E111" s="115">
        <v>853</v>
      </c>
      <c r="F111" s="115">
        <v>295</v>
      </c>
      <c r="G111" s="122"/>
      <c r="H111" s="118">
        <f t="shared" si="7"/>
        <v>0</v>
      </c>
      <c r="I111" s="125"/>
      <c r="J111" s="125"/>
      <c r="K111" s="113"/>
      <c r="L111" s="113"/>
      <c r="M111" s="113"/>
      <c r="N111" s="113"/>
    </row>
    <row r="112" spans="1:14" s="8" customFormat="1" ht="16.5" customHeight="1">
      <c r="A112" s="143" t="s">
        <v>362</v>
      </c>
      <c r="B112" s="115"/>
      <c r="C112" s="115">
        <v>297</v>
      </c>
      <c r="D112" s="397" t="s">
        <v>521</v>
      </c>
      <c r="E112" s="115">
        <v>853</v>
      </c>
      <c r="F112" s="115">
        <v>297</v>
      </c>
      <c r="G112" s="102" t="s">
        <v>533</v>
      </c>
      <c r="H112" s="118">
        <f t="shared" si="7"/>
        <v>28000</v>
      </c>
      <c r="I112" s="125"/>
      <c r="J112" s="125"/>
      <c r="K112" s="113"/>
      <c r="L112" s="113"/>
      <c r="M112" s="113">
        <f>'ФЭО СС'!G90</f>
        <v>28000</v>
      </c>
      <c r="N112" s="113"/>
    </row>
    <row r="113" spans="1:14" s="8" customFormat="1" ht="15.75" customHeight="1">
      <c r="A113" s="143" t="s">
        <v>311</v>
      </c>
      <c r="B113" s="115">
        <v>240</v>
      </c>
      <c r="C113" s="115"/>
      <c r="D113" s="115"/>
      <c r="E113" s="115"/>
      <c r="F113" s="115"/>
      <c r="G113" s="122"/>
      <c r="H113" s="118">
        <f t="shared" si="7"/>
        <v>0</v>
      </c>
      <c r="I113" s="125"/>
      <c r="J113" s="125"/>
      <c r="K113" s="113"/>
      <c r="L113" s="113"/>
      <c r="M113" s="113"/>
      <c r="N113" s="113"/>
    </row>
    <row r="114" spans="1:14" s="8" customFormat="1" ht="28.5" customHeight="1">
      <c r="A114" s="137" t="s">
        <v>312</v>
      </c>
      <c r="B114" s="115">
        <v>250</v>
      </c>
      <c r="C114" s="115"/>
      <c r="D114" s="115"/>
      <c r="E114" s="115"/>
      <c r="F114" s="115"/>
      <c r="G114" s="122"/>
      <c r="H114" s="118">
        <f>H116+H117</f>
        <v>0</v>
      </c>
      <c r="I114" s="125">
        <f aca="true" t="shared" si="8" ref="I114:N114">I116+I117</f>
        <v>0</v>
      </c>
      <c r="J114" s="125">
        <f t="shared" si="8"/>
        <v>0</v>
      </c>
      <c r="K114" s="125">
        <f t="shared" si="8"/>
        <v>0</v>
      </c>
      <c r="L114" s="125">
        <f t="shared" si="8"/>
        <v>0</v>
      </c>
      <c r="M114" s="125">
        <f t="shared" si="8"/>
        <v>0</v>
      </c>
      <c r="N114" s="125">
        <f t="shared" si="8"/>
        <v>0</v>
      </c>
    </row>
    <row r="115" spans="1:14" s="8" customFormat="1" ht="11.25" customHeight="1">
      <c r="A115" s="143" t="s">
        <v>4</v>
      </c>
      <c r="B115" s="115"/>
      <c r="C115" s="115"/>
      <c r="D115" s="115"/>
      <c r="E115" s="115"/>
      <c r="F115" s="115"/>
      <c r="G115" s="122"/>
      <c r="H115" s="118"/>
      <c r="I115" s="125"/>
      <c r="J115" s="125"/>
      <c r="K115" s="113"/>
      <c r="L115" s="113"/>
      <c r="M115" s="113"/>
      <c r="N115" s="113"/>
    </row>
    <row r="116" spans="1:14" s="8" customFormat="1" ht="23.25" customHeight="1">
      <c r="A116" s="137" t="s">
        <v>313</v>
      </c>
      <c r="B116" s="115"/>
      <c r="C116" s="115"/>
      <c r="D116" s="115"/>
      <c r="E116" s="115"/>
      <c r="F116" s="115"/>
      <c r="G116" s="122"/>
      <c r="H116" s="118">
        <f>I116+J116+K116+L116+M116+N116</f>
        <v>0</v>
      </c>
      <c r="I116" s="125"/>
      <c r="J116" s="125"/>
      <c r="K116" s="113"/>
      <c r="L116" s="113"/>
      <c r="M116" s="113"/>
      <c r="N116" s="113"/>
    </row>
    <row r="117" spans="1:14" s="8" customFormat="1" ht="34.5" customHeight="1">
      <c r="A117" s="143" t="s">
        <v>314</v>
      </c>
      <c r="B117" s="115"/>
      <c r="C117" s="115"/>
      <c r="D117" s="115"/>
      <c r="E117" s="115"/>
      <c r="F117" s="115"/>
      <c r="G117" s="122"/>
      <c r="H117" s="118">
        <f>I117+J117+K117+L117+M117+N117</f>
        <v>0</v>
      </c>
      <c r="I117" s="125"/>
      <c r="J117" s="125"/>
      <c r="K117" s="125"/>
      <c r="L117" s="125"/>
      <c r="M117" s="125"/>
      <c r="N117" s="113"/>
    </row>
    <row r="118" spans="1:14" s="162" customFormat="1" ht="21" customHeight="1">
      <c r="A118" s="157" t="s">
        <v>315</v>
      </c>
      <c r="B118" s="158">
        <v>260</v>
      </c>
      <c r="C118" s="158"/>
      <c r="D118" s="158"/>
      <c r="E118" s="158"/>
      <c r="F118" s="158"/>
      <c r="G118" s="159"/>
      <c r="H118" s="160">
        <f>I118+J118+M118</f>
        <v>11033319.969999999</v>
      </c>
      <c r="I118" s="161">
        <f>SUM(I120:I124)+SUM(I133:I142)+I143+I152</f>
        <v>6007996.7299999995</v>
      </c>
      <c r="J118" s="161">
        <f>J120+J123+J124+J133+J134+J139+J142+J143+J151+J152+J159</f>
        <v>0</v>
      </c>
      <c r="K118" s="161">
        <f>K120+K123+K124+K133+K134+K139+K142+K143+K151+K152+K159</f>
        <v>0</v>
      </c>
      <c r="L118" s="161">
        <f>L120+L123+L124+L133+L134+L139+L142+L143+L151+L152+L159</f>
        <v>0</v>
      </c>
      <c r="M118" s="161">
        <f>SUM(M120:M124)+SUM(M133:M142)+M143+M152</f>
        <v>5025323.24</v>
      </c>
      <c r="N118" s="161">
        <f>N120+N123+N124+N133+N134+N139+N142+N143+N151+N152+N159</f>
        <v>0</v>
      </c>
    </row>
    <row r="119" spans="1:14" s="41" customFormat="1" ht="15.75" customHeight="1">
      <c r="A119" s="143" t="s">
        <v>4</v>
      </c>
      <c r="B119" s="149"/>
      <c r="C119" s="115"/>
      <c r="D119" s="149"/>
      <c r="E119" s="149"/>
      <c r="F119" s="115"/>
      <c r="G119" s="122"/>
      <c r="H119" s="118"/>
      <c r="I119" s="118"/>
      <c r="J119" s="118"/>
      <c r="K119" s="118"/>
      <c r="L119" s="118"/>
      <c r="M119" s="118"/>
      <c r="N119" s="118"/>
    </row>
    <row r="120" spans="1:14" s="8" customFormat="1" ht="16.5" customHeight="1">
      <c r="A120" s="143" t="s">
        <v>316</v>
      </c>
      <c r="B120" s="115"/>
      <c r="C120" s="115">
        <v>221</v>
      </c>
      <c r="D120" s="116" t="s">
        <v>522</v>
      </c>
      <c r="E120" s="115">
        <v>244</v>
      </c>
      <c r="F120" s="115">
        <v>221</v>
      </c>
      <c r="G120" s="102" t="s">
        <v>531</v>
      </c>
      <c r="H120" s="118">
        <f>I120+J120+M120</f>
        <v>72000</v>
      </c>
      <c r="I120" s="125">
        <f>'ФЭО МЗ'!G148</f>
        <v>72000</v>
      </c>
      <c r="J120" s="125"/>
      <c r="K120" s="113"/>
      <c r="L120" s="113"/>
      <c r="M120" s="113"/>
      <c r="N120" s="113"/>
    </row>
    <row r="121" spans="1:14" s="8" customFormat="1" ht="16.5" customHeight="1">
      <c r="A121" s="143" t="s">
        <v>316</v>
      </c>
      <c r="B121" s="115"/>
      <c r="C121" s="115">
        <v>221</v>
      </c>
      <c r="D121" s="116" t="s">
        <v>522</v>
      </c>
      <c r="E121" s="115">
        <v>244</v>
      </c>
      <c r="F121" s="115">
        <v>221</v>
      </c>
      <c r="G121" s="102" t="s">
        <v>532</v>
      </c>
      <c r="H121" s="118">
        <f>I121+J121+M121</f>
        <v>32000.100000000002</v>
      </c>
      <c r="I121" s="125">
        <f>'ФЭО МЗ'!H148</f>
        <v>32000.100000000002</v>
      </c>
      <c r="J121" s="125"/>
      <c r="K121" s="113"/>
      <c r="L121" s="113"/>
      <c r="M121" s="113"/>
      <c r="N121" s="113"/>
    </row>
    <row r="122" spans="1:14" s="8" customFormat="1" ht="16.5" customHeight="1">
      <c r="A122" s="143" t="s">
        <v>316</v>
      </c>
      <c r="B122" s="115"/>
      <c r="C122" s="115">
        <v>221</v>
      </c>
      <c r="D122" s="116" t="s">
        <v>521</v>
      </c>
      <c r="E122" s="115">
        <v>244</v>
      </c>
      <c r="F122" s="115">
        <v>221</v>
      </c>
      <c r="G122" s="102" t="s">
        <v>533</v>
      </c>
      <c r="H122" s="118">
        <f>I122+J122+M122</f>
        <v>3500</v>
      </c>
      <c r="I122" s="125">
        <v>0</v>
      </c>
      <c r="J122" s="125"/>
      <c r="K122" s="113"/>
      <c r="L122" s="113"/>
      <c r="M122" s="113">
        <f>'ФЭО СС'!F139</f>
        <v>3500</v>
      </c>
      <c r="N122" s="113"/>
    </row>
    <row r="123" spans="1:14" s="8" customFormat="1" ht="15.75" customHeight="1">
      <c r="A123" s="143" t="s">
        <v>317</v>
      </c>
      <c r="B123" s="115"/>
      <c r="C123" s="115">
        <v>222</v>
      </c>
      <c r="D123" s="116" t="s">
        <v>521</v>
      </c>
      <c r="E123" s="115">
        <v>244</v>
      </c>
      <c r="F123" s="115">
        <v>222</v>
      </c>
      <c r="G123" s="102" t="s">
        <v>533</v>
      </c>
      <c r="H123" s="118">
        <f>I123+J123+K123+L123+M123+N123</f>
        <v>11000</v>
      </c>
      <c r="I123" s="125"/>
      <c r="J123" s="125"/>
      <c r="K123" s="113"/>
      <c r="L123" s="113"/>
      <c r="M123" s="113">
        <f>'ФЭО СС'!E150</f>
        <v>11000</v>
      </c>
      <c r="N123" s="113"/>
    </row>
    <row r="124" spans="1:14" s="162" customFormat="1" ht="14.25" customHeight="1">
      <c r="A124" s="157" t="s">
        <v>318</v>
      </c>
      <c r="B124" s="158"/>
      <c r="C124" s="158">
        <v>223</v>
      </c>
      <c r="D124" s="158"/>
      <c r="E124" s="158">
        <v>244</v>
      </c>
      <c r="F124" s="158">
        <v>223</v>
      </c>
      <c r="G124" s="159"/>
      <c r="H124" s="160">
        <f>I124+J124+M124</f>
        <v>2121593.9299999997</v>
      </c>
      <c r="I124" s="161">
        <f>I126+I127+I128+I129</f>
        <v>1826922.5399999998</v>
      </c>
      <c r="J124" s="161">
        <f>J126+J127+J128+J129</f>
        <v>0</v>
      </c>
      <c r="K124" s="161">
        <f>K126+K127+K128+K129</f>
        <v>0</v>
      </c>
      <c r="L124" s="161">
        <f>L126+L127+L128+L129</f>
        <v>0</v>
      </c>
      <c r="M124" s="161">
        <f>SUM(M126:M132)</f>
        <v>294671.39</v>
      </c>
      <c r="N124" s="161">
        <f>N126+N127+N128+N129</f>
        <v>0</v>
      </c>
    </row>
    <row r="125" spans="1:14" s="8" customFormat="1" ht="12.75">
      <c r="A125" s="143" t="s">
        <v>4</v>
      </c>
      <c r="B125" s="115"/>
      <c r="C125" s="115"/>
      <c r="D125" s="115"/>
      <c r="E125" s="115"/>
      <c r="F125" s="115"/>
      <c r="G125" s="122"/>
      <c r="H125" s="118"/>
      <c r="I125" s="125"/>
      <c r="J125" s="125"/>
      <c r="K125" s="113"/>
      <c r="L125" s="113"/>
      <c r="M125" s="113"/>
      <c r="N125" s="113"/>
    </row>
    <row r="126" spans="1:14" s="8" customFormat="1" ht="15" customHeight="1">
      <c r="A126" s="143" t="s">
        <v>319</v>
      </c>
      <c r="B126" s="115"/>
      <c r="C126" s="115">
        <v>223</v>
      </c>
      <c r="D126" s="116" t="s">
        <v>522</v>
      </c>
      <c r="E126" s="115">
        <v>244</v>
      </c>
      <c r="F126" s="115">
        <v>223</v>
      </c>
      <c r="G126" s="102" t="s">
        <v>532</v>
      </c>
      <c r="H126" s="118">
        <f aca="true" t="shared" si="9" ref="H126:H143">I126+J126+K126+L126+M126+N126</f>
        <v>1231409.94</v>
      </c>
      <c r="I126" s="125">
        <f>'ФЭО МЗ'!H168</f>
        <v>1231409.94</v>
      </c>
      <c r="J126" s="125"/>
      <c r="K126" s="113"/>
      <c r="L126" s="113"/>
      <c r="M126" s="113">
        <v>0</v>
      </c>
      <c r="N126" s="113"/>
    </row>
    <row r="127" spans="1:14" s="8" customFormat="1" ht="15" customHeight="1">
      <c r="A127" s="143" t="s">
        <v>320</v>
      </c>
      <c r="B127" s="115"/>
      <c r="C127" s="115">
        <v>223</v>
      </c>
      <c r="D127" s="116" t="s">
        <v>522</v>
      </c>
      <c r="E127" s="115">
        <v>244</v>
      </c>
      <c r="F127" s="115">
        <v>223</v>
      </c>
      <c r="G127" s="102" t="s">
        <v>532</v>
      </c>
      <c r="H127" s="118">
        <f t="shared" si="9"/>
        <v>0</v>
      </c>
      <c r="I127" s="125">
        <v>0</v>
      </c>
      <c r="J127" s="125"/>
      <c r="K127" s="113"/>
      <c r="L127" s="113"/>
      <c r="M127" s="113"/>
      <c r="N127" s="113"/>
    </row>
    <row r="128" spans="1:14" s="8" customFormat="1" ht="15" customHeight="1">
      <c r="A128" s="143" t="s">
        <v>321</v>
      </c>
      <c r="B128" s="115"/>
      <c r="C128" s="115">
        <v>223</v>
      </c>
      <c r="D128" s="116" t="s">
        <v>522</v>
      </c>
      <c r="E128" s="115">
        <v>244</v>
      </c>
      <c r="F128" s="115">
        <v>223</v>
      </c>
      <c r="G128" s="102" t="s">
        <v>532</v>
      </c>
      <c r="H128" s="118">
        <f t="shared" si="9"/>
        <v>470359.68</v>
      </c>
      <c r="I128" s="125">
        <f>'ФЭО МЗ'!H169</f>
        <v>470359.68</v>
      </c>
      <c r="J128" s="125"/>
      <c r="K128" s="113"/>
      <c r="L128" s="113"/>
      <c r="M128" s="113"/>
      <c r="N128" s="113"/>
    </row>
    <row r="129" spans="1:14" s="8" customFormat="1" ht="15" customHeight="1">
      <c r="A129" s="143" t="s">
        <v>322</v>
      </c>
      <c r="B129" s="115"/>
      <c r="C129" s="115">
        <v>223</v>
      </c>
      <c r="D129" s="116" t="s">
        <v>522</v>
      </c>
      <c r="E129" s="115">
        <v>244</v>
      </c>
      <c r="F129" s="115">
        <v>223</v>
      </c>
      <c r="G129" s="102" t="s">
        <v>532</v>
      </c>
      <c r="H129" s="118">
        <f t="shared" si="9"/>
        <v>125152.92</v>
      </c>
      <c r="I129" s="125">
        <f>'ФЭО МЗ'!H170</f>
        <v>125152.92</v>
      </c>
      <c r="J129" s="125"/>
      <c r="K129" s="113"/>
      <c r="L129" s="113"/>
      <c r="M129" s="113"/>
      <c r="N129" s="113"/>
    </row>
    <row r="130" spans="1:14" s="8" customFormat="1" ht="15" customHeight="1">
      <c r="A130" s="143" t="s">
        <v>319</v>
      </c>
      <c r="B130" s="115"/>
      <c r="C130" s="115">
        <v>223</v>
      </c>
      <c r="D130" s="116" t="s">
        <v>521</v>
      </c>
      <c r="E130" s="115">
        <v>244</v>
      </c>
      <c r="F130" s="115">
        <v>223</v>
      </c>
      <c r="G130" s="102" t="s">
        <v>533</v>
      </c>
      <c r="H130" s="118">
        <f>I130+J130+K130+L130+M130+N130</f>
        <v>108771.27</v>
      </c>
      <c r="I130" s="125">
        <v>0</v>
      </c>
      <c r="J130" s="125"/>
      <c r="K130" s="113"/>
      <c r="L130" s="113"/>
      <c r="M130" s="113">
        <f>'ФЭО СС'!F159</f>
        <v>108771.27</v>
      </c>
      <c r="N130" s="113"/>
    </row>
    <row r="131" spans="1:14" s="8" customFormat="1" ht="15" customHeight="1">
      <c r="A131" s="143" t="s">
        <v>321</v>
      </c>
      <c r="B131" s="115"/>
      <c r="C131" s="115">
        <v>223</v>
      </c>
      <c r="D131" s="116" t="s">
        <v>521</v>
      </c>
      <c r="E131" s="115">
        <v>244</v>
      </c>
      <c r="F131" s="115">
        <v>223</v>
      </c>
      <c r="G131" s="102" t="s">
        <v>533</v>
      </c>
      <c r="H131" s="118">
        <f>I131+J131+K131+L131+M131+N131</f>
        <v>143362.88</v>
      </c>
      <c r="I131" s="125">
        <v>0</v>
      </c>
      <c r="J131" s="125"/>
      <c r="K131" s="113"/>
      <c r="L131" s="113"/>
      <c r="M131" s="113">
        <f>'ФЭО СС'!F160</f>
        <v>143362.88</v>
      </c>
      <c r="N131" s="113"/>
    </row>
    <row r="132" spans="1:14" s="8" customFormat="1" ht="15" customHeight="1">
      <c r="A132" s="143" t="s">
        <v>322</v>
      </c>
      <c r="B132" s="115"/>
      <c r="C132" s="115">
        <v>223</v>
      </c>
      <c r="D132" s="116" t="s">
        <v>521</v>
      </c>
      <c r="E132" s="115">
        <v>244</v>
      </c>
      <c r="F132" s="115">
        <v>223</v>
      </c>
      <c r="G132" s="102" t="s">
        <v>533</v>
      </c>
      <c r="H132" s="118">
        <f>I132+J132+K132+L132+M132+N132</f>
        <v>42537.24</v>
      </c>
      <c r="I132" s="125">
        <v>0</v>
      </c>
      <c r="J132" s="125"/>
      <c r="K132" s="113"/>
      <c r="L132" s="113"/>
      <c r="M132" s="113">
        <f>'ФЭО СС'!F161</f>
        <v>42537.24</v>
      </c>
      <c r="N132" s="113"/>
    </row>
    <row r="133" spans="1:14" s="8" customFormat="1" ht="15" customHeight="1">
      <c r="A133" s="143" t="s">
        <v>323</v>
      </c>
      <c r="B133" s="115"/>
      <c r="C133" s="115">
        <v>224</v>
      </c>
      <c r="D133" s="115"/>
      <c r="E133" s="115"/>
      <c r="F133" s="115">
        <v>224</v>
      </c>
      <c r="G133" s="122"/>
      <c r="H133" s="118">
        <f t="shared" si="9"/>
        <v>0</v>
      </c>
      <c r="I133" s="125">
        <v>0</v>
      </c>
      <c r="J133" s="125"/>
      <c r="K133" s="113"/>
      <c r="L133" s="113"/>
      <c r="M133" s="113"/>
      <c r="N133" s="113"/>
    </row>
    <row r="134" spans="1:14" s="8" customFormat="1" ht="15" customHeight="1">
      <c r="A134" s="143" t="s">
        <v>324</v>
      </c>
      <c r="B134" s="115"/>
      <c r="C134" s="115">
        <v>225</v>
      </c>
      <c r="D134" s="116" t="s">
        <v>522</v>
      </c>
      <c r="E134" s="115">
        <v>244</v>
      </c>
      <c r="F134" s="115">
        <v>225</v>
      </c>
      <c r="G134" s="102" t="s">
        <v>531</v>
      </c>
      <c r="H134" s="118">
        <f t="shared" si="9"/>
        <v>132945.86</v>
      </c>
      <c r="I134" s="125">
        <f>'ФЭО МЗ'!F203</f>
        <v>132945.86</v>
      </c>
      <c r="J134" s="125"/>
      <c r="K134" s="113"/>
      <c r="L134" s="113"/>
      <c r="M134" s="113"/>
      <c r="N134" s="113"/>
    </row>
    <row r="135" spans="1:14" s="8" customFormat="1" ht="15" customHeight="1">
      <c r="A135" s="143" t="s">
        <v>324</v>
      </c>
      <c r="B135" s="115"/>
      <c r="C135" s="115">
        <v>225</v>
      </c>
      <c r="D135" s="116" t="s">
        <v>522</v>
      </c>
      <c r="E135" s="115">
        <v>244</v>
      </c>
      <c r="F135" s="115">
        <v>225</v>
      </c>
      <c r="G135" s="102" t="s">
        <v>532</v>
      </c>
      <c r="H135" s="118">
        <f>I135+J135+K135+L135+M135+N135</f>
        <v>1837882.27</v>
      </c>
      <c r="I135" s="125">
        <f>'ФЭО МЗ'!G203</f>
        <v>1837882.27</v>
      </c>
      <c r="J135" s="125"/>
      <c r="K135" s="113"/>
      <c r="L135" s="113"/>
      <c r="M135" s="113"/>
      <c r="N135" s="113"/>
    </row>
    <row r="136" spans="1:14" s="8" customFormat="1" ht="15" customHeight="1">
      <c r="A136" s="143" t="s">
        <v>324</v>
      </c>
      <c r="B136" s="115"/>
      <c r="C136" s="115">
        <v>225</v>
      </c>
      <c r="D136" s="116" t="s">
        <v>521</v>
      </c>
      <c r="E136" s="115">
        <v>244</v>
      </c>
      <c r="F136" s="115">
        <v>225</v>
      </c>
      <c r="G136" s="102" t="s">
        <v>533</v>
      </c>
      <c r="H136" s="118">
        <f>I136+J136+K136+L136+M136+N136</f>
        <v>2092627.1600000001</v>
      </c>
      <c r="I136" s="125">
        <v>0</v>
      </c>
      <c r="J136" s="125"/>
      <c r="K136" s="113"/>
      <c r="L136" s="113"/>
      <c r="M136" s="113">
        <f>'ФЭО СС'!E191</f>
        <v>2092627.1600000001</v>
      </c>
      <c r="N136" s="113"/>
    </row>
    <row r="137" spans="1:14" s="8" customFormat="1" ht="15" customHeight="1">
      <c r="A137" s="143" t="s">
        <v>754</v>
      </c>
      <c r="B137" s="115"/>
      <c r="C137" s="115">
        <v>228</v>
      </c>
      <c r="D137" s="116" t="s">
        <v>521</v>
      </c>
      <c r="E137" s="115">
        <v>244</v>
      </c>
      <c r="F137" s="115">
        <v>228</v>
      </c>
      <c r="G137" s="102" t="s">
        <v>533</v>
      </c>
      <c r="H137" s="118">
        <f>I137+J137+K137+L137+M137+N137</f>
        <v>0</v>
      </c>
      <c r="I137" s="125">
        <v>0</v>
      </c>
      <c r="J137" s="125"/>
      <c r="K137" s="113"/>
      <c r="L137" s="113"/>
      <c r="M137" s="113">
        <v>0</v>
      </c>
      <c r="N137" s="113"/>
    </row>
    <row r="138" spans="1:14" s="8" customFormat="1" ht="15" customHeight="1">
      <c r="A138" s="143" t="s">
        <v>754</v>
      </c>
      <c r="B138" s="115"/>
      <c r="C138" s="115">
        <v>228</v>
      </c>
      <c r="D138" s="116" t="s">
        <v>522</v>
      </c>
      <c r="E138" s="115">
        <v>244</v>
      </c>
      <c r="F138" s="115">
        <v>228</v>
      </c>
      <c r="G138" s="102" t="s">
        <v>532</v>
      </c>
      <c r="H138" s="118">
        <f>I138+J138+K138+L138+M138+N138</f>
        <v>1462846.06</v>
      </c>
      <c r="I138" s="125">
        <f>'ФЭО МЗ'!G206</f>
        <v>962846.06</v>
      </c>
      <c r="J138" s="125"/>
      <c r="K138" s="113"/>
      <c r="L138" s="113"/>
      <c r="M138" s="113">
        <f>'ФЭО СС'!E193</f>
        <v>500000</v>
      </c>
      <c r="N138" s="113"/>
    </row>
    <row r="139" spans="1:14" s="8" customFormat="1" ht="15" customHeight="1">
      <c r="A139" s="143" t="s">
        <v>325</v>
      </c>
      <c r="B139" s="115"/>
      <c r="C139" s="115">
        <v>310</v>
      </c>
      <c r="D139" s="116" t="s">
        <v>522</v>
      </c>
      <c r="E139" s="115">
        <v>244</v>
      </c>
      <c r="F139" s="115">
        <v>310</v>
      </c>
      <c r="G139" s="102" t="s">
        <v>531</v>
      </c>
      <c r="H139" s="118">
        <f t="shared" si="9"/>
        <v>399789.61</v>
      </c>
      <c r="I139" s="125">
        <f>'ФЭО МЗ'!G230</f>
        <v>399789.61</v>
      </c>
      <c r="J139" s="125"/>
      <c r="K139" s="113"/>
      <c r="L139" s="113"/>
      <c r="M139" s="113"/>
      <c r="N139" s="113"/>
    </row>
    <row r="140" spans="1:14" s="8" customFormat="1" ht="15" customHeight="1">
      <c r="A140" s="143" t="s">
        <v>325</v>
      </c>
      <c r="B140" s="115"/>
      <c r="C140" s="115">
        <v>310</v>
      </c>
      <c r="D140" s="116" t="s">
        <v>522</v>
      </c>
      <c r="E140" s="115">
        <v>244</v>
      </c>
      <c r="F140" s="115">
        <v>310</v>
      </c>
      <c r="G140" s="102" t="s">
        <v>532</v>
      </c>
      <c r="H140" s="118">
        <f>I140+J140+K140+L140+M140+N140</f>
        <v>313210.29000000004</v>
      </c>
      <c r="I140" s="125">
        <f>'ФЭО МЗ'!H230</f>
        <v>313210.29000000004</v>
      </c>
      <c r="J140" s="125"/>
      <c r="K140" s="113"/>
      <c r="L140" s="113"/>
      <c r="M140" s="113"/>
      <c r="N140" s="113"/>
    </row>
    <row r="141" spans="1:14" s="8" customFormat="1" ht="15" customHeight="1">
      <c r="A141" s="143" t="s">
        <v>325</v>
      </c>
      <c r="B141" s="115"/>
      <c r="C141" s="115">
        <v>310</v>
      </c>
      <c r="D141" s="116" t="s">
        <v>521</v>
      </c>
      <c r="E141" s="115">
        <v>244</v>
      </c>
      <c r="F141" s="115">
        <v>310</v>
      </c>
      <c r="G141" s="102" t="s">
        <v>533</v>
      </c>
      <c r="H141" s="118">
        <f>I141+J141+K141+L141+M141+N141</f>
        <v>304248</v>
      </c>
      <c r="I141" s="125">
        <v>0</v>
      </c>
      <c r="J141" s="125"/>
      <c r="K141" s="113"/>
      <c r="L141" s="113"/>
      <c r="M141" s="113">
        <f>'ФЭО СС'!F222</f>
        <v>304248</v>
      </c>
      <c r="N141" s="113"/>
    </row>
    <row r="142" spans="1:14" s="8" customFormat="1" ht="15" customHeight="1">
      <c r="A142" s="143" t="s">
        <v>326</v>
      </c>
      <c r="B142" s="115"/>
      <c r="C142" s="115">
        <v>320</v>
      </c>
      <c r="D142" s="115"/>
      <c r="E142" s="115"/>
      <c r="F142" s="115">
        <v>320</v>
      </c>
      <c r="G142" s="122"/>
      <c r="H142" s="118">
        <f t="shared" si="9"/>
        <v>0</v>
      </c>
      <c r="I142" s="125">
        <v>0</v>
      </c>
      <c r="J142" s="125"/>
      <c r="K142" s="113"/>
      <c r="L142" s="113"/>
      <c r="M142" s="113"/>
      <c r="N142" s="113"/>
    </row>
    <row r="143" spans="1:14" s="162" customFormat="1" ht="23.25" customHeight="1">
      <c r="A143" s="157" t="s">
        <v>327</v>
      </c>
      <c r="B143" s="158"/>
      <c r="C143" s="158">
        <v>340</v>
      </c>
      <c r="D143" s="158"/>
      <c r="E143" s="158">
        <v>244</v>
      </c>
      <c r="F143" s="158">
        <v>340</v>
      </c>
      <c r="G143" s="159"/>
      <c r="H143" s="160">
        <f t="shared" si="9"/>
        <v>424943.1</v>
      </c>
      <c r="I143" s="161">
        <f aca="true" t="shared" si="10" ref="I143:N143">I144+I145+I146+I148+I150</f>
        <v>124943.1</v>
      </c>
      <c r="J143" s="161">
        <f t="shared" si="10"/>
        <v>0</v>
      </c>
      <c r="K143" s="161">
        <f t="shared" si="10"/>
        <v>0</v>
      </c>
      <c r="L143" s="161">
        <f t="shared" si="10"/>
        <v>0</v>
      </c>
      <c r="M143" s="161">
        <f>SUM(M145:M150)</f>
        <v>300000</v>
      </c>
      <c r="N143" s="161">
        <f t="shared" si="10"/>
        <v>0</v>
      </c>
    </row>
    <row r="144" spans="1:14" s="8" customFormat="1" ht="15" customHeight="1">
      <c r="A144" s="143" t="s">
        <v>4</v>
      </c>
      <c r="B144" s="115"/>
      <c r="C144" s="115"/>
      <c r="D144" s="115"/>
      <c r="E144" s="115"/>
      <c r="F144" s="115"/>
      <c r="G144" s="122"/>
      <c r="H144" s="118"/>
      <c r="I144" s="125"/>
      <c r="J144" s="125"/>
      <c r="K144" s="113"/>
      <c r="L144" s="113"/>
      <c r="M144" s="113"/>
      <c r="N144" s="113"/>
    </row>
    <row r="145" spans="1:14" s="8" customFormat="1" ht="15" customHeight="1">
      <c r="A145" s="143" t="s">
        <v>328</v>
      </c>
      <c r="B145" s="115"/>
      <c r="C145" s="115">
        <v>341</v>
      </c>
      <c r="D145" s="116" t="s">
        <v>521</v>
      </c>
      <c r="E145" s="115">
        <v>244</v>
      </c>
      <c r="F145" s="115">
        <v>341</v>
      </c>
      <c r="G145" s="102" t="s">
        <v>533</v>
      </c>
      <c r="H145" s="118">
        <f aca="true" t="shared" si="11" ref="H145:H150">I145+J145+K145+L145+M145+N145</f>
        <v>50000</v>
      </c>
      <c r="I145" s="125">
        <v>0</v>
      </c>
      <c r="J145" s="125"/>
      <c r="K145" s="113"/>
      <c r="L145" s="113"/>
      <c r="M145" s="113">
        <f>'ФЭО СС'!F229</f>
        <v>50000</v>
      </c>
      <c r="N145" s="113"/>
    </row>
    <row r="146" spans="1:14" s="8" customFormat="1" ht="15" customHeight="1">
      <c r="A146" s="143" t="s">
        <v>329</v>
      </c>
      <c r="B146" s="115"/>
      <c r="C146" s="115">
        <v>344</v>
      </c>
      <c r="D146" s="116" t="s">
        <v>521</v>
      </c>
      <c r="E146" s="115">
        <v>244</v>
      </c>
      <c r="F146" s="115">
        <v>344</v>
      </c>
      <c r="G146" s="102" t="s">
        <v>533</v>
      </c>
      <c r="H146" s="118">
        <f t="shared" si="11"/>
        <v>50000</v>
      </c>
      <c r="I146" s="125">
        <v>0</v>
      </c>
      <c r="J146" s="125"/>
      <c r="K146" s="113"/>
      <c r="L146" s="113"/>
      <c r="M146" s="113">
        <f>'ФЭО СС'!F230</f>
        <v>50000</v>
      </c>
      <c r="N146" s="113"/>
    </row>
    <row r="147" spans="1:14" s="8" customFormat="1" ht="15" customHeight="1">
      <c r="A147" s="143" t="s">
        <v>330</v>
      </c>
      <c r="B147" s="115"/>
      <c r="C147" s="115">
        <v>346</v>
      </c>
      <c r="D147" s="116" t="s">
        <v>521</v>
      </c>
      <c r="E147" s="115">
        <v>244</v>
      </c>
      <c r="F147" s="115">
        <v>346</v>
      </c>
      <c r="G147" s="102" t="s">
        <v>533</v>
      </c>
      <c r="H147" s="118">
        <f t="shared" si="11"/>
        <v>100000</v>
      </c>
      <c r="I147" s="125">
        <f>'ФЭО МЗ'!H242</f>
        <v>0</v>
      </c>
      <c r="J147" s="125"/>
      <c r="K147" s="113"/>
      <c r="L147" s="113"/>
      <c r="M147" s="113">
        <f>'ФЭО СС'!F231</f>
        <v>100000</v>
      </c>
      <c r="N147" s="113"/>
    </row>
    <row r="148" spans="1:14" s="8" customFormat="1" ht="15" customHeight="1">
      <c r="A148" s="143" t="s">
        <v>330</v>
      </c>
      <c r="B148" s="115"/>
      <c r="C148" s="115">
        <v>346</v>
      </c>
      <c r="D148" s="116" t="s">
        <v>522</v>
      </c>
      <c r="E148" s="115">
        <v>244</v>
      </c>
      <c r="F148" s="115">
        <v>346</v>
      </c>
      <c r="G148" s="102" t="s">
        <v>532</v>
      </c>
      <c r="H148" s="118">
        <f t="shared" si="11"/>
        <v>124943.1</v>
      </c>
      <c r="I148" s="125">
        <f>'ФЭО МЗ'!H243</f>
        <v>124943.1</v>
      </c>
      <c r="J148" s="125"/>
      <c r="K148" s="113"/>
      <c r="L148" s="113"/>
      <c r="M148" s="113"/>
      <c r="N148" s="113"/>
    </row>
    <row r="149" spans="1:14" s="8" customFormat="1" ht="15" customHeight="1">
      <c r="A149" s="143" t="s">
        <v>330</v>
      </c>
      <c r="B149" s="115"/>
      <c r="C149" s="115">
        <v>349</v>
      </c>
      <c r="D149" s="116" t="s">
        <v>521</v>
      </c>
      <c r="E149" s="115">
        <v>244</v>
      </c>
      <c r="F149" s="115">
        <v>349</v>
      </c>
      <c r="G149" s="102" t="s">
        <v>533</v>
      </c>
      <c r="H149" s="118">
        <f t="shared" si="11"/>
        <v>100000</v>
      </c>
      <c r="I149" s="125">
        <f>'ФЭО МЗ'!H244</f>
        <v>0</v>
      </c>
      <c r="J149" s="125"/>
      <c r="K149" s="113"/>
      <c r="L149" s="113"/>
      <c r="M149" s="113">
        <f>'ФЭО СС'!F232</f>
        <v>100000</v>
      </c>
      <c r="N149" s="113"/>
    </row>
    <row r="150" spans="1:14" s="8" customFormat="1" ht="15" customHeight="1">
      <c r="A150" s="143" t="s">
        <v>331</v>
      </c>
      <c r="B150" s="115"/>
      <c r="C150" s="115"/>
      <c r="D150" s="115"/>
      <c r="E150" s="115"/>
      <c r="F150" s="115"/>
      <c r="G150" s="122"/>
      <c r="H150" s="118">
        <f t="shared" si="11"/>
        <v>0</v>
      </c>
      <c r="I150" s="125">
        <v>0</v>
      </c>
      <c r="J150" s="125"/>
      <c r="K150" s="113"/>
      <c r="L150" s="113"/>
      <c r="M150" s="113"/>
      <c r="N150" s="113"/>
    </row>
    <row r="151" spans="1:14" s="8" customFormat="1" ht="17.25" customHeight="1">
      <c r="A151" s="143" t="s">
        <v>332</v>
      </c>
      <c r="B151" s="115"/>
      <c r="C151" s="115">
        <v>530</v>
      </c>
      <c r="D151" s="115"/>
      <c r="E151" s="115">
        <v>465</v>
      </c>
      <c r="F151" s="115">
        <v>530</v>
      </c>
      <c r="G151" s="122"/>
      <c r="H151" s="118"/>
      <c r="I151" s="125"/>
      <c r="J151" s="125"/>
      <c r="K151" s="113"/>
      <c r="L151" s="113"/>
      <c r="M151" s="113"/>
      <c r="N151" s="113"/>
    </row>
    <row r="152" spans="1:14" s="162" customFormat="1" ht="17.25" customHeight="1">
      <c r="A152" s="157" t="s">
        <v>333</v>
      </c>
      <c r="B152" s="158"/>
      <c r="C152" s="158">
        <v>226</v>
      </c>
      <c r="D152" s="158"/>
      <c r="E152" s="158">
        <v>244</v>
      </c>
      <c r="F152" s="158">
        <v>226</v>
      </c>
      <c r="G152" s="159"/>
      <c r="H152" s="160">
        <f>I152+J152+K152+L152+M152+N152</f>
        <v>1824733.5899999999</v>
      </c>
      <c r="I152" s="161">
        <f>SUM(I154:I157)</f>
        <v>305456.9</v>
      </c>
      <c r="J152" s="161">
        <f>J154+J155+J156</f>
        <v>0</v>
      </c>
      <c r="K152" s="161">
        <f>K154+K155+K156</f>
        <v>0</v>
      </c>
      <c r="L152" s="161">
        <f>L154+L155+L156</f>
        <v>0</v>
      </c>
      <c r="M152" s="161">
        <f>SUM(M155:M159)</f>
        <v>1519276.69</v>
      </c>
      <c r="N152" s="161">
        <f>N154+N155+N156</f>
        <v>0</v>
      </c>
    </row>
    <row r="153" spans="1:14" s="8" customFormat="1" ht="17.25" customHeight="1">
      <c r="A153" s="143" t="s">
        <v>4</v>
      </c>
      <c r="B153" s="115"/>
      <c r="C153" s="115"/>
      <c r="D153" s="115"/>
      <c r="E153" s="115"/>
      <c r="F153" s="115"/>
      <c r="G153" s="122"/>
      <c r="H153" s="118"/>
      <c r="I153" s="125"/>
      <c r="J153" s="125"/>
      <c r="K153" s="113"/>
      <c r="L153" s="113"/>
      <c r="M153" s="113"/>
      <c r="N153" s="113"/>
    </row>
    <row r="154" spans="1:14" s="8" customFormat="1" ht="17.25" customHeight="1">
      <c r="A154" s="143" t="s">
        <v>334</v>
      </c>
      <c r="B154" s="115"/>
      <c r="C154" s="115"/>
      <c r="D154" s="115"/>
      <c r="E154" s="115"/>
      <c r="F154" s="115"/>
      <c r="G154" s="122"/>
      <c r="H154" s="118">
        <f aca="true" t="shared" si="12" ref="H154:H159">I154+J154+K154+L154+M154+N154</f>
        <v>0</v>
      </c>
      <c r="I154" s="125"/>
      <c r="J154" s="125"/>
      <c r="K154" s="113"/>
      <c r="L154" s="113"/>
      <c r="M154" s="113"/>
      <c r="N154" s="113"/>
    </row>
    <row r="155" spans="1:14" s="8" customFormat="1" ht="28.5" customHeight="1">
      <c r="A155" s="143" t="s">
        <v>335</v>
      </c>
      <c r="B155" s="115"/>
      <c r="C155" s="115"/>
      <c r="D155" s="115"/>
      <c r="E155" s="115"/>
      <c r="F155" s="115"/>
      <c r="G155" s="122"/>
      <c r="H155" s="118">
        <f t="shared" si="12"/>
        <v>0</v>
      </c>
      <c r="I155" s="125"/>
      <c r="J155" s="125"/>
      <c r="K155" s="113"/>
      <c r="L155" s="113"/>
      <c r="M155" s="113"/>
      <c r="N155" s="113"/>
    </row>
    <row r="156" spans="1:14" s="8" customFormat="1" ht="17.25" customHeight="1">
      <c r="A156" s="143" t="s">
        <v>336</v>
      </c>
      <c r="B156" s="115"/>
      <c r="C156" s="115">
        <v>226</v>
      </c>
      <c r="D156" s="116" t="s">
        <v>522</v>
      </c>
      <c r="E156" s="115">
        <v>244</v>
      </c>
      <c r="F156" s="115">
        <v>226</v>
      </c>
      <c r="G156" s="102" t="s">
        <v>531</v>
      </c>
      <c r="H156" s="118">
        <f t="shared" si="12"/>
        <v>101269</v>
      </c>
      <c r="I156" s="125">
        <f>'ФЭО МЗ'!E218</f>
        <v>101269</v>
      </c>
      <c r="J156" s="125"/>
      <c r="K156" s="113"/>
      <c r="L156" s="113"/>
      <c r="M156" s="113"/>
      <c r="N156" s="113"/>
    </row>
    <row r="157" spans="1:14" s="8" customFormat="1" ht="17.25" customHeight="1">
      <c r="A157" s="143" t="s">
        <v>336</v>
      </c>
      <c r="B157" s="115"/>
      <c r="C157" s="115">
        <v>226</v>
      </c>
      <c r="D157" s="116" t="s">
        <v>522</v>
      </c>
      <c r="E157" s="115">
        <v>244</v>
      </c>
      <c r="F157" s="115">
        <v>226</v>
      </c>
      <c r="G157" s="102" t="s">
        <v>532</v>
      </c>
      <c r="H157" s="118">
        <f t="shared" si="12"/>
        <v>204187.9</v>
      </c>
      <c r="I157" s="125">
        <f>'ФЭО МЗ'!F218</f>
        <v>204187.9</v>
      </c>
      <c r="J157" s="125"/>
      <c r="K157" s="113"/>
      <c r="L157" s="113"/>
      <c r="M157" s="113"/>
      <c r="N157" s="113"/>
    </row>
    <row r="158" spans="1:14" s="8" customFormat="1" ht="17.25" customHeight="1">
      <c r="A158" s="143" t="s">
        <v>336</v>
      </c>
      <c r="B158" s="115"/>
      <c r="C158" s="115">
        <v>226</v>
      </c>
      <c r="D158" s="116" t="s">
        <v>521</v>
      </c>
      <c r="E158" s="115">
        <v>244</v>
      </c>
      <c r="F158" s="115">
        <v>226</v>
      </c>
      <c r="G158" s="102" t="s">
        <v>533</v>
      </c>
      <c r="H158" s="118">
        <f t="shared" si="12"/>
        <v>1519276.69</v>
      </c>
      <c r="I158" s="125">
        <v>0</v>
      </c>
      <c r="J158" s="125"/>
      <c r="K158" s="113"/>
      <c r="L158" s="113"/>
      <c r="M158" s="113">
        <f>'ФЭО СС'!D210</f>
        <v>1519276.69</v>
      </c>
      <c r="N158" s="113"/>
    </row>
    <row r="159" spans="1:14" s="8" customFormat="1" ht="17.25" customHeight="1">
      <c r="A159" s="143" t="s">
        <v>400</v>
      </c>
      <c r="B159" s="115"/>
      <c r="C159" s="115">
        <v>297</v>
      </c>
      <c r="D159" s="116"/>
      <c r="E159" s="115">
        <v>244</v>
      </c>
      <c r="F159" s="115">
        <v>296</v>
      </c>
      <c r="G159" s="102"/>
      <c r="H159" s="118">
        <f t="shared" si="12"/>
        <v>0</v>
      </c>
      <c r="I159" s="125"/>
      <c r="J159" s="125"/>
      <c r="K159" s="113"/>
      <c r="L159" s="113"/>
      <c r="M159" s="113">
        <v>0</v>
      </c>
      <c r="N159" s="113"/>
    </row>
    <row r="160" spans="1:14" s="8" customFormat="1" ht="17.25" customHeight="1">
      <c r="A160" s="137" t="s">
        <v>53</v>
      </c>
      <c r="B160" s="115">
        <v>300</v>
      </c>
      <c r="C160" s="115" t="s">
        <v>10</v>
      </c>
      <c r="D160" s="115"/>
      <c r="E160" s="115"/>
      <c r="F160" s="115" t="s">
        <v>10</v>
      </c>
      <c r="G160" s="122"/>
      <c r="H160" s="118">
        <f>H162+H163</f>
        <v>0</v>
      </c>
      <c r="I160" s="125">
        <f aca="true" t="shared" si="13" ref="I160:N160">I162+I163</f>
        <v>0</v>
      </c>
      <c r="J160" s="125">
        <f t="shared" si="13"/>
        <v>0</v>
      </c>
      <c r="K160" s="125">
        <f t="shared" si="13"/>
        <v>0</v>
      </c>
      <c r="L160" s="125">
        <f t="shared" si="13"/>
        <v>0</v>
      </c>
      <c r="M160" s="125">
        <f t="shared" si="13"/>
        <v>0</v>
      </c>
      <c r="N160" s="125">
        <f t="shared" si="13"/>
        <v>0</v>
      </c>
    </row>
    <row r="161" spans="1:14" s="8" customFormat="1" ht="14.25" customHeight="1">
      <c r="A161" s="137" t="s">
        <v>3</v>
      </c>
      <c r="B161" s="115"/>
      <c r="C161" s="149"/>
      <c r="D161" s="115"/>
      <c r="E161" s="115"/>
      <c r="F161" s="149"/>
      <c r="G161" s="150"/>
      <c r="H161" s="118"/>
      <c r="I161" s="125"/>
      <c r="J161" s="125"/>
      <c r="K161" s="113"/>
      <c r="L161" s="113"/>
      <c r="M161" s="113"/>
      <c r="N161" s="113"/>
    </row>
    <row r="162" spans="1:14" s="8" customFormat="1" ht="16.5" customHeight="1">
      <c r="A162" s="137" t="s">
        <v>54</v>
      </c>
      <c r="B162" s="145">
        <v>310</v>
      </c>
      <c r="C162" s="151"/>
      <c r="D162" s="145"/>
      <c r="E162" s="145"/>
      <c r="F162" s="151"/>
      <c r="G162" s="152"/>
      <c r="H162" s="118">
        <f>I162+J162+K162+L162+M162+N162</f>
        <v>0</v>
      </c>
      <c r="I162" s="125"/>
      <c r="J162" s="125"/>
      <c r="K162" s="113"/>
      <c r="L162" s="113"/>
      <c r="M162" s="113"/>
      <c r="N162" s="113"/>
    </row>
    <row r="163" spans="1:14" s="153" customFormat="1" ht="15" customHeight="1">
      <c r="A163" s="137" t="s">
        <v>55</v>
      </c>
      <c r="B163" s="115">
        <v>320</v>
      </c>
      <c r="C163" s="115"/>
      <c r="D163" s="115"/>
      <c r="E163" s="115"/>
      <c r="F163" s="115"/>
      <c r="G163" s="122"/>
      <c r="H163" s="118">
        <f>I163+J163+K163+L163+M163+N163</f>
        <v>0</v>
      </c>
      <c r="I163" s="125"/>
      <c r="J163" s="125"/>
      <c r="K163" s="113"/>
      <c r="L163" s="113"/>
      <c r="M163" s="113"/>
      <c r="N163" s="113"/>
    </row>
    <row r="164" spans="1:14" s="153" customFormat="1" ht="17.25" customHeight="1">
      <c r="A164" s="137" t="s">
        <v>56</v>
      </c>
      <c r="B164" s="115">
        <v>400</v>
      </c>
      <c r="C164" s="115"/>
      <c r="D164" s="115"/>
      <c r="E164" s="115"/>
      <c r="F164" s="115"/>
      <c r="G164" s="122"/>
      <c r="H164" s="118">
        <f>H166+H167</f>
        <v>0</v>
      </c>
      <c r="I164" s="125">
        <f aca="true" t="shared" si="14" ref="I164:N164">I166+I167</f>
        <v>0</v>
      </c>
      <c r="J164" s="125">
        <f t="shared" si="14"/>
        <v>0</v>
      </c>
      <c r="K164" s="125">
        <f t="shared" si="14"/>
        <v>0</v>
      </c>
      <c r="L164" s="125">
        <f t="shared" si="14"/>
        <v>0</v>
      </c>
      <c r="M164" s="125">
        <f t="shared" si="14"/>
        <v>0</v>
      </c>
      <c r="N164" s="125">
        <f t="shared" si="14"/>
        <v>0</v>
      </c>
    </row>
    <row r="165" spans="1:14" s="153" customFormat="1" ht="14.25" customHeight="1">
      <c r="A165" s="137" t="s">
        <v>3</v>
      </c>
      <c r="B165" s="115"/>
      <c r="C165" s="149"/>
      <c r="D165" s="115"/>
      <c r="E165" s="115"/>
      <c r="F165" s="149"/>
      <c r="G165" s="150"/>
      <c r="H165" s="118"/>
      <c r="I165" s="125"/>
      <c r="J165" s="125"/>
      <c r="K165" s="113"/>
      <c r="L165" s="113"/>
      <c r="M165" s="113"/>
      <c r="N165" s="113"/>
    </row>
    <row r="166" spans="1:14" s="153" customFormat="1" ht="15.75" customHeight="1">
      <c r="A166" s="137" t="s">
        <v>57</v>
      </c>
      <c r="B166" s="145">
        <v>410</v>
      </c>
      <c r="C166" s="151"/>
      <c r="D166" s="145"/>
      <c r="E166" s="145"/>
      <c r="F166" s="151"/>
      <c r="G166" s="152"/>
      <c r="H166" s="118">
        <f aca="true" t="shared" si="15" ref="H166:H180">I166+J166+K166+L166+M166+N166</f>
        <v>0</v>
      </c>
      <c r="I166" s="125"/>
      <c r="J166" s="125"/>
      <c r="K166" s="113"/>
      <c r="L166" s="113"/>
      <c r="M166" s="113"/>
      <c r="N166" s="113"/>
    </row>
    <row r="167" spans="1:14" s="153" customFormat="1" ht="13.5" customHeight="1">
      <c r="A167" s="137" t="s">
        <v>58</v>
      </c>
      <c r="B167" s="115">
        <v>420</v>
      </c>
      <c r="C167" s="115"/>
      <c r="D167" s="115"/>
      <c r="E167" s="115"/>
      <c r="F167" s="115"/>
      <c r="G167" s="122"/>
      <c r="H167" s="118">
        <f t="shared" si="15"/>
        <v>0</v>
      </c>
      <c r="I167" s="125"/>
      <c r="J167" s="125"/>
      <c r="K167" s="113"/>
      <c r="L167" s="113"/>
      <c r="M167" s="113"/>
      <c r="N167" s="113"/>
    </row>
    <row r="168" spans="1:14" s="153" customFormat="1" ht="28.5" customHeight="1">
      <c r="A168" s="137" t="s">
        <v>337</v>
      </c>
      <c r="B168" s="115">
        <v>500</v>
      </c>
      <c r="C168" s="115" t="s">
        <v>10</v>
      </c>
      <c r="D168" s="115"/>
      <c r="E168" s="115"/>
      <c r="F168" s="115" t="s">
        <v>10</v>
      </c>
      <c r="G168" s="122"/>
      <c r="H168" s="118">
        <f>I168+J168+K168+L168+M168+N168</f>
        <v>7626518.710000001</v>
      </c>
      <c r="I168" s="125">
        <f>SUM(I169:I180)</f>
        <v>3165444.81</v>
      </c>
      <c r="J168" s="125">
        <f>J169+J174</f>
        <v>0</v>
      </c>
      <c r="K168" s="125">
        <f>K169+K174</f>
        <v>0</v>
      </c>
      <c r="L168" s="125">
        <f>L169+L174</f>
        <v>0</v>
      </c>
      <c r="M168" s="125">
        <f>SUM(M169:M177)</f>
        <v>4461073.9</v>
      </c>
      <c r="N168" s="125">
        <f>N169+N174</f>
        <v>0</v>
      </c>
    </row>
    <row r="169" spans="1:14" s="153" customFormat="1" ht="18" customHeight="1">
      <c r="A169" s="137" t="s">
        <v>59</v>
      </c>
      <c r="B169" s="115"/>
      <c r="C169" s="115">
        <v>121</v>
      </c>
      <c r="D169" s="116" t="s">
        <v>521</v>
      </c>
      <c r="E169" s="115"/>
      <c r="F169" s="115">
        <v>121</v>
      </c>
      <c r="G169" s="117" t="s">
        <v>363</v>
      </c>
      <c r="H169" s="118">
        <f t="shared" si="15"/>
        <v>1051898.98</v>
      </c>
      <c r="I169" s="154">
        <v>0</v>
      </c>
      <c r="J169" s="125"/>
      <c r="K169" s="113"/>
      <c r="L169" s="113"/>
      <c r="M169" s="113">
        <f>1051898.98</f>
        <v>1051898.98</v>
      </c>
      <c r="N169" s="113"/>
    </row>
    <row r="170" spans="1:14" s="153" customFormat="1" ht="18" customHeight="1">
      <c r="A170" s="137" t="s">
        <v>59</v>
      </c>
      <c r="B170" s="115"/>
      <c r="C170" s="115">
        <v>124</v>
      </c>
      <c r="D170" s="116" t="s">
        <v>521</v>
      </c>
      <c r="E170" s="115"/>
      <c r="F170" s="115">
        <v>124</v>
      </c>
      <c r="G170" s="117" t="s">
        <v>363</v>
      </c>
      <c r="H170" s="118">
        <f t="shared" si="15"/>
        <v>122859.79</v>
      </c>
      <c r="I170" s="154">
        <v>0</v>
      </c>
      <c r="J170" s="125"/>
      <c r="K170" s="113"/>
      <c r="L170" s="113"/>
      <c r="M170" s="113">
        <v>122859.79</v>
      </c>
      <c r="N170" s="113"/>
    </row>
    <row r="171" spans="1:14" s="153" customFormat="1" ht="18" customHeight="1">
      <c r="A171" s="137" t="s">
        <v>59</v>
      </c>
      <c r="B171" s="115"/>
      <c r="C171" s="115">
        <v>131</v>
      </c>
      <c r="D171" s="116" t="s">
        <v>521</v>
      </c>
      <c r="E171" s="115"/>
      <c r="F171" s="115">
        <v>131</v>
      </c>
      <c r="G171" s="117" t="s">
        <v>363</v>
      </c>
      <c r="H171" s="118">
        <f t="shared" si="15"/>
        <v>3186741.96</v>
      </c>
      <c r="I171" s="154">
        <v>0</v>
      </c>
      <c r="J171" s="125"/>
      <c r="K171" s="113"/>
      <c r="L171" s="113"/>
      <c r="M171" s="113">
        <f>3071859.19+32320.45+72402.32+10160</f>
        <v>3186741.96</v>
      </c>
      <c r="N171" s="113"/>
    </row>
    <row r="172" spans="1:14" s="153" customFormat="1" ht="18" customHeight="1">
      <c r="A172" s="137" t="s">
        <v>59</v>
      </c>
      <c r="B172" s="115"/>
      <c r="C172" s="115">
        <v>135</v>
      </c>
      <c r="D172" s="116" t="s">
        <v>521</v>
      </c>
      <c r="E172" s="115"/>
      <c r="F172" s="115">
        <v>135</v>
      </c>
      <c r="G172" s="117" t="s">
        <v>363</v>
      </c>
      <c r="H172" s="118">
        <f>I172+J172+K172+L172+M172+N172</f>
        <v>99469.92</v>
      </c>
      <c r="I172" s="154">
        <v>0</v>
      </c>
      <c r="J172" s="125"/>
      <c r="K172" s="113"/>
      <c r="L172" s="113"/>
      <c r="M172" s="113">
        <v>99469.92</v>
      </c>
      <c r="N172" s="113"/>
    </row>
    <row r="173" spans="1:14" s="153" customFormat="1" ht="18" customHeight="1">
      <c r="A173" s="137" t="s">
        <v>59</v>
      </c>
      <c r="B173" s="115"/>
      <c r="C173" s="115">
        <v>155</v>
      </c>
      <c r="D173" s="116" t="s">
        <v>521</v>
      </c>
      <c r="E173" s="115"/>
      <c r="F173" s="115">
        <v>155</v>
      </c>
      <c r="G173" s="117" t="s">
        <v>363</v>
      </c>
      <c r="H173" s="118">
        <f>I173+J173+K173+L173+M173+N173</f>
        <v>103.25</v>
      </c>
      <c r="I173" s="154">
        <v>0</v>
      </c>
      <c r="J173" s="125"/>
      <c r="K173" s="113"/>
      <c r="L173" s="113"/>
      <c r="M173" s="113">
        <v>103.25</v>
      </c>
      <c r="N173" s="113"/>
    </row>
    <row r="174" spans="1:14" s="153" customFormat="1" ht="18" customHeight="1">
      <c r="A174" s="137" t="s">
        <v>59</v>
      </c>
      <c r="B174" s="115"/>
      <c r="C174" s="115">
        <v>131</v>
      </c>
      <c r="D174" s="116" t="s">
        <v>522</v>
      </c>
      <c r="E174" s="115"/>
      <c r="F174" s="115">
        <v>152</v>
      </c>
      <c r="G174" s="102" t="s">
        <v>531</v>
      </c>
      <c r="H174" s="118">
        <f t="shared" si="15"/>
        <v>2502598.75</v>
      </c>
      <c r="I174" s="154">
        <v>2502598.75</v>
      </c>
      <c r="J174" s="125"/>
      <c r="K174" s="113"/>
      <c r="L174" s="113"/>
      <c r="M174" s="113"/>
      <c r="N174" s="113"/>
    </row>
    <row r="175" spans="1:14" s="153" customFormat="1" ht="18" customHeight="1">
      <c r="A175" s="137" t="s">
        <v>59</v>
      </c>
      <c r="B175" s="115"/>
      <c r="C175" s="115">
        <v>131</v>
      </c>
      <c r="D175" s="116" t="s">
        <v>522</v>
      </c>
      <c r="E175" s="115"/>
      <c r="F175" s="115">
        <v>121</v>
      </c>
      <c r="G175" s="102" t="s">
        <v>532</v>
      </c>
      <c r="H175" s="118">
        <f t="shared" si="15"/>
        <v>662846.0599999999</v>
      </c>
      <c r="I175" s="154">
        <f>662558.44+287.62</f>
        <v>662846.0599999999</v>
      </c>
      <c r="J175" s="125"/>
      <c r="K175" s="113"/>
      <c r="L175" s="113"/>
      <c r="M175" s="113"/>
      <c r="N175" s="113"/>
    </row>
    <row r="176" spans="1:14" s="153" customFormat="1" ht="18" customHeight="1">
      <c r="A176" s="137" t="s">
        <v>59</v>
      </c>
      <c r="B176" s="115"/>
      <c r="C176" s="115">
        <v>152</v>
      </c>
      <c r="D176" s="116" t="s">
        <v>758</v>
      </c>
      <c r="E176" s="115"/>
      <c r="F176" s="115">
        <v>152</v>
      </c>
      <c r="G176" s="102" t="s">
        <v>523</v>
      </c>
      <c r="H176" s="118">
        <f t="shared" si="15"/>
        <v>409277.65</v>
      </c>
      <c r="I176" s="154">
        <v>0</v>
      </c>
      <c r="J176" s="125">
        <v>409277.65</v>
      </c>
      <c r="K176" s="113"/>
      <c r="L176" s="113"/>
      <c r="M176" s="113"/>
      <c r="N176" s="113"/>
    </row>
    <row r="177" spans="1:14" s="153" customFormat="1" ht="18" customHeight="1">
      <c r="A177" s="137" t="s">
        <v>59</v>
      </c>
      <c r="B177" s="115"/>
      <c r="C177" s="115">
        <v>152</v>
      </c>
      <c r="D177" s="116" t="s">
        <v>759</v>
      </c>
      <c r="E177" s="115"/>
      <c r="F177" s="115">
        <v>152</v>
      </c>
      <c r="G177" s="102" t="s">
        <v>523</v>
      </c>
      <c r="H177" s="118">
        <f t="shared" si="15"/>
        <v>36183.22</v>
      </c>
      <c r="I177" s="154">
        <v>0</v>
      </c>
      <c r="J177" s="125">
        <v>36183.22</v>
      </c>
      <c r="K177" s="113"/>
      <c r="L177" s="113"/>
      <c r="M177" s="113"/>
      <c r="N177" s="113"/>
    </row>
    <row r="178" spans="1:14" s="153" customFormat="1" ht="18" customHeight="1">
      <c r="A178" s="137" t="s">
        <v>59</v>
      </c>
      <c r="B178" s="115"/>
      <c r="C178" s="115">
        <v>152</v>
      </c>
      <c r="D178" s="116" t="s">
        <v>760</v>
      </c>
      <c r="E178" s="115"/>
      <c r="F178" s="115">
        <v>152</v>
      </c>
      <c r="G178" s="102" t="s">
        <v>523</v>
      </c>
      <c r="H178" s="118">
        <f>I178+J178+K178+L178+M178+N178</f>
        <v>40124.4</v>
      </c>
      <c r="I178" s="154">
        <v>0</v>
      </c>
      <c r="J178" s="125">
        <v>40124.4</v>
      </c>
      <c r="K178" s="113"/>
      <c r="L178" s="113"/>
      <c r="M178" s="113"/>
      <c r="N178" s="113"/>
    </row>
    <row r="179" spans="1:14" s="153" customFormat="1" ht="18" customHeight="1">
      <c r="A179" s="137" t="s">
        <v>59</v>
      </c>
      <c r="B179" s="115"/>
      <c r="C179" s="115">
        <v>152</v>
      </c>
      <c r="D179" s="116" t="s">
        <v>761</v>
      </c>
      <c r="E179" s="115"/>
      <c r="F179" s="115">
        <v>152</v>
      </c>
      <c r="G179" s="102" t="s">
        <v>523</v>
      </c>
      <c r="H179" s="118">
        <f t="shared" si="15"/>
        <v>53116.98</v>
      </c>
      <c r="I179" s="154">
        <v>0</v>
      </c>
      <c r="J179" s="125">
        <v>53116.98</v>
      </c>
      <c r="K179" s="113"/>
      <c r="L179" s="113"/>
      <c r="M179" s="113"/>
      <c r="N179" s="113"/>
    </row>
    <row r="180" spans="1:14" s="153" customFormat="1" ht="18" customHeight="1">
      <c r="A180" s="137" t="s">
        <v>60</v>
      </c>
      <c r="B180" s="115">
        <v>600</v>
      </c>
      <c r="C180" s="115" t="s">
        <v>10</v>
      </c>
      <c r="D180" s="115"/>
      <c r="E180" s="115"/>
      <c r="F180" s="115" t="s">
        <v>10</v>
      </c>
      <c r="G180" s="122"/>
      <c r="H180" s="155">
        <f t="shared" si="15"/>
        <v>-0.0011470001190900803</v>
      </c>
      <c r="I180" s="156">
        <f>I174+I175+I11-I68</f>
        <v>0</v>
      </c>
      <c r="J180" s="408">
        <f>SUM(J176:J179)+J11-J68</f>
        <v>-0.0011470001190900803</v>
      </c>
      <c r="K180" s="156"/>
      <c r="L180" s="156"/>
      <c r="M180" s="156">
        <f>SUM(M169:M173)+M11-M68</f>
        <v>0</v>
      </c>
      <c r="N180" s="120"/>
    </row>
    <row r="181" spans="1:14" ht="22.5">
      <c r="A181" s="38"/>
      <c r="B181" s="21"/>
      <c r="C181" s="21"/>
      <c r="D181" s="21"/>
      <c r="E181" s="21"/>
      <c r="F181" s="21"/>
      <c r="G181" s="21"/>
      <c r="H181" s="21"/>
      <c r="I181" s="28" t="s">
        <v>757</v>
      </c>
      <c r="J181" s="21"/>
      <c r="K181" s="21"/>
      <c r="L181" s="21"/>
      <c r="M181" s="21"/>
      <c r="N181" s="22" t="s">
        <v>77</v>
      </c>
    </row>
    <row r="182" spans="1:14" ht="14.25" customHeight="1">
      <c r="A182" s="38"/>
      <c r="B182" s="21"/>
      <c r="C182" s="21"/>
      <c r="D182" s="21"/>
      <c r="E182" s="21"/>
      <c r="F182" s="21"/>
      <c r="G182" s="21"/>
      <c r="H182" s="474"/>
      <c r="I182" s="474"/>
      <c r="J182" s="474"/>
      <c r="K182" s="474"/>
      <c r="L182" s="21"/>
      <c r="M182" s="21"/>
      <c r="N182" s="21"/>
    </row>
    <row r="183" spans="1:14" ht="12.75" customHeight="1">
      <c r="A183" s="38"/>
      <c r="B183" s="21"/>
      <c r="C183" s="21"/>
      <c r="D183" s="21"/>
      <c r="E183" s="21"/>
      <c r="F183" s="21"/>
      <c r="G183" s="21"/>
      <c r="H183" s="457" t="s">
        <v>41</v>
      </c>
      <c r="I183" s="457"/>
      <c r="J183" s="457"/>
      <c r="K183" s="457"/>
      <c r="L183" s="21"/>
      <c r="M183" s="21"/>
      <c r="N183" s="21"/>
    </row>
    <row r="184" spans="1:14" ht="12.75" customHeight="1">
      <c r="A184" s="38"/>
      <c r="B184" s="21"/>
      <c r="C184" s="21"/>
      <c r="D184" s="21"/>
      <c r="E184" s="21"/>
      <c r="F184" s="21"/>
      <c r="G184" s="21"/>
      <c r="H184" s="458" t="s">
        <v>519</v>
      </c>
      <c r="I184" s="458"/>
      <c r="J184" s="458"/>
      <c r="K184" s="458"/>
      <c r="L184" s="21"/>
      <c r="M184" s="21"/>
      <c r="N184" s="21"/>
    </row>
    <row r="185" spans="1:14" ht="12.75" customHeight="1">
      <c r="A185" s="38"/>
      <c r="B185" s="21"/>
      <c r="C185" s="21"/>
      <c r="D185" s="21"/>
      <c r="E185" s="21"/>
      <c r="F185" s="21"/>
      <c r="G185" s="21"/>
      <c r="H185" s="22"/>
      <c r="I185" s="22"/>
      <c r="J185" s="22"/>
      <c r="K185" s="22"/>
      <c r="L185" s="21"/>
      <c r="M185" s="21"/>
      <c r="N185" s="21"/>
    </row>
    <row r="186" spans="1:15" s="8" customFormat="1" ht="18" customHeight="1">
      <c r="A186" s="465" t="s">
        <v>1</v>
      </c>
      <c r="B186" s="455" t="s">
        <v>45</v>
      </c>
      <c r="C186" s="479" t="s">
        <v>397</v>
      </c>
      <c r="D186" s="468" t="s">
        <v>163</v>
      </c>
      <c r="E186" s="462" t="s">
        <v>164</v>
      </c>
      <c r="F186" s="455" t="s">
        <v>165</v>
      </c>
      <c r="G186" s="471" t="s">
        <v>338</v>
      </c>
      <c r="H186" s="459" t="s">
        <v>38</v>
      </c>
      <c r="I186" s="460"/>
      <c r="J186" s="460"/>
      <c r="K186" s="460"/>
      <c r="L186" s="460"/>
      <c r="M186" s="460"/>
      <c r="N186" s="461"/>
      <c r="O186" s="64"/>
    </row>
    <row r="187" spans="1:15" s="8" customFormat="1" ht="16.5" customHeight="1">
      <c r="A187" s="466"/>
      <c r="B187" s="455"/>
      <c r="C187" s="480"/>
      <c r="D187" s="469"/>
      <c r="E187" s="456"/>
      <c r="F187" s="455"/>
      <c r="G187" s="472"/>
      <c r="H187" s="462" t="s">
        <v>33</v>
      </c>
      <c r="I187" s="455" t="s">
        <v>4</v>
      </c>
      <c r="J187" s="455"/>
      <c r="K187" s="455"/>
      <c r="L187" s="455"/>
      <c r="M187" s="455"/>
      <c r="N187" s="455"/>
      <c r="O187" s="64"/>
    </row>
    <row r="188" spans="1:15" s="8" customFormat="1" ht="68.25" customHeight="1">
      <c r="A188" s="466"/>
      <c r="B188" s="455"/>
      <c r="C188" s="480"/>
      <c r="D188" s="469"/>
      <c r="E188" s="456"/>
      <c r="F188" s="455"/>
      <c r="G188" s="472"/>
      <c r="H188" s="456"/>
      <c r="I188" s="463" t="s">
        <v>398</v>
      </c>
      <c r="J188" s="475" t="s">
        <v>166</v>
      </c>
      <c r="K188" s="454" t="s">
        <v>34</v>
      </c>
      <c r="L188" s="456" t="s">
        <v>35</v>
      </c>
      <c r="M188" s="454" t="s">
        <v>50</v>
      </c>
      <c r="N188" s="454"/>
      <c r="O188" s="64"/>
    </row>
    <row r="189" spans="1:15" s="8" customFormat="1" ht="30.75" customHeight="1">
      <c r="A189" s="467"/>
      <c r="B189" s="455"/>
      <c r="C189" s="481"/>
      <c r="D189" s="470"/>
      <c r="E189" s="454"/>
      <c r="F189" s="455"/>
      <c r="G189" s="473"/>
      <c r="H189" s="454"/>
      <c r="I189" s="464"/>
      <c r="J189" s="476"/>
      <c r="K189" s="455"/>
      <c r="L189" s="454"/>
      <c r="M189" s="42" t="s">
        <v>36</v>
      </c>
      <c r="N189" s="42" t="s">
        <v>37</v>
      </c>
      <c r="O189" s="64"/>
    </row>
    <row r="190" spans="1:15" s="9" customFormat="1" ht="12">
      <c r="A190" s="24">
        <v>2</v>
      </c>
      <c r="B190" s="24">
        <v>3</v>
      </c>
      <c r="C190" s="24"/>
      <c r="D190" s="24">
        <v>4</v>
      </c>
      <c r="E190" s="24">
        <v>5</v>
      </c>
      <c r="F190" s="24">
        <v>6</v>
      </c>
      <c r="G190" s="24">
        <v>7</v>
      </c>
      <c r="H190" s="17">
        <v>8</v>
      </c>
      <c r="I190" s="17">
        <v>9</v>
      </c>
      <c r="J190" s="17">
        <v>10</v>
      </c>
      <c r="K190" s="17">
        <v>11</v>
      </c>
      <c r="L190" s="17">
        <v>12</v>
      </c>
      <c r="M190" s="17">
        <v>13</v>
      </c>
      <c r="N190" s="17">
        <v>14</v>
      </c>
      <c r="O190" s="65"/>
    </row>
    <row r="191" spans="1:14" s="107" customFormat="1" ht="12.75">
      <c r="A191" s="103" t="s">
        <v>43</v>
      </c>
      <c r="B191" s="104">
        <v>100</v>
      </c>
      <c r="C191" s="104"/>
      <c r="D191" s="104"/>
      <c r="E191" s="104"/>
      <c r="F191" s="104" t="s">
        <v>10</v>
      </c>
      <c r="G191" s="105"/>
      <c r="H191" s="106">
        <f>H193+H197+H230</f>
        <v>38565022.099999994</v>
      </c>
      <c r="I191" s="106">
        <f>I197</f>
        <v>31789495.74</v>
      </c>
      <c r="J191" s="106">
        <f>J230</f>
        <v>0</v>
      </c>
      <c r="K191" s="106">
        <f>K231</f>
        <v>0</v>
      </c>
      <c r="L191" s="106">
        <f>L197</f>
        <v>0</v>
      </c>
      <c r="M191" s="106">
        <f>M193+M197+M229+M238</f>
        <v>6775526.36</v>
      </c>
      <c r="N191" s="106">
        <f>N197+N238</f>
        <v>0</v>
      </c>
    </row>
    <row r="192" spans="1:14" s="107" customFormat="1" ht="12.75">
      <c r="A192" s="108" t="s">
        <v>3</v>
      </c>
      <c r="B192" s="109"/>
      <c r="C192" s="109"/>
      <c r="D192" s="109"/>
      <c r="E192" s="109"/>
      <c r="F192" s="109"/>
      <c r="G192" s="110"/>
      <c r="H192" s="111"/>
      <c r="I192" s="111"/>
      <c r="J192" s="111"/>
      <c r="K192" s="112"/>
      <c r="L192" s="112"/>
      <c r="M192" s="113"/>
      <c r="N192" s="112"/>
    </row>
    <row r="193" spans="1:14" s="121" customFormat="1" ht="17.25" customHeight="1">
      <c r="A193" s="114" t="s">
        <v>32</v>
      </c>
      <c r="B193" s="115">
        <v>110</v>
      </c>
      <c r="C193" s="115">
        <v>120</v>
      </c>
      <c r="D193" s="116" t="s">
        <v>521</v>
      </c>
      <c r="E193" s="115"/>
      <c r="F193" s="115">
        <v>120</v>
      </c>
      <c r="G193" s="117" t="s">
        <v>363</v>
      </c>
      <c r="H193" s="118">
        <f>M193</f>
        <v>750526.36</v>
      </c>
      <c r="I193" s="115" t="s">
        <v>74</v>
      </c>
      <c r="J193" s="115" t="s">
        <v>74</v>
      </c>
      <c r="K193" s="119" t="s">
        <v>10</v>
      </c>
      <c r="L193" s="119" t="s">
        <v>10</v>
      </c>
      <c r="M193" s="120">
        <f>M195+M196</f>
        <v>750526.36</v>
      </c>
      <c r="N193" s="119" t="s">
        <v>10</v>
      </c>
    </row>
    <row r="194" spans="1:14" s="121" customFormat="1" ht="12.75">
      <c r="A194" s="114" t="s">
        <v>364</v>
      </c>
      <c r="B194" s="115"/>
      <c r="C194" s="115"/>
      <c r="D194" s="116"/>
      <c r="E194" s="115"/>
      <c r="F194" s="115"/>
      <c r="G194" s="122"/>
      <c r="H194" s="118"/>
      <c r="I194" s="122"/>
      <c r="J194" s="115"/>
      <c r="K194" s="119"/>
      <c r="L194" s="123"/>
      <c r="M194" s="118"/>
      <c r="N194" s="123"/>
    </row>
    <row r="195" spans="1:14" s="121" customFormat="1" ht="14.25" customHeight="1">
      <c r="A195" s="114" t="s">
        <v>365</v>
      </c>
      <c r="B195" s="115"/>
      <c r="C195" s="115">
        <v>121</v>
      </c>
      <c r="D195" s="116" t="s">
        <v>521</v>
      </c>
      <c r="E195" s="115"/>
      <c r="F195" s="115">
        <v>121</v>
      </c>
      <c r="G195" s="117" t="s">
        <v>363</v>
      </c>
      <c r="H195" s="118">
        <f>SUM(I195:M195)</f>
        <v>700526.36</v>
      </c>
      <c r="I195" s="122"/>
      <c r="J195" s="115"/>
      <c r="K195" s="119"/>
      <c r="L195" s="123"/>
      <c r="M195" s="118">
        <v>700526.36</v>
      </c>
      <c r="N195" s="123"/>
    </row>
    <row r="196" spans="1:14" s="121" customFormat="1" ht="21" customHeight="1">
      <c r="A196" s="114" t="s">
        <v>366</v>
      </c>
      <c r="B196" s="115"/>
      <c r="C196" s="115">
        <v>124</v>
      </c>
      <c r="D196" s="116" t="s">
        <v>521</v>
      </c>
      <c r="E196" s="115"/>
      <c r="F196" s="115">
        <v>124</v>
      </c>
      <c r="G196" s="117" t="s">
        <v>363</v>
      </c>
      <c r="H196" s="118">
        <f>SUM(I196:M196)</f>
        <v>50000</v>
      </c>
      <c r="I196" s="122"/>
      <c r="J196" s="115"/>
      <c r="K196" s="119"/>
      <c r="L196" s="123"/>
      <c r="M196" s="118">
        <v>50000</v>
      </c>
      <c r="N196" s="123"/>
    </row>
    <row r="197" spans="1:14" s="121" customFormat="1" ht="23.25" customHeight="1">
      <c r="A197" s="114" t="s">
        <v>367</v>
      </c>
      <c r="B197" s="115">
        <v>120</v>
      </c>
      <c r="C197" s="115">
        <v>130</v>
      </c>
      <c r="D197" s="116" t="s">
        <v>521</v>
      </c>
      <c r="E197" s="115"/>
      <c r="F197" s="115">
        <v>130</v>
      </c>
      <c r="G197" s="122"/>
      <c r="H197" s="118">
        <f>I197+L197+M197+N197</f>
        <v>37814495.739999995</v>
      </c>
      <c r="I197" s="118">
        <f>SUM(I198:I220)</f>
        <v>31789495.74</v>
      </c>
      <c r="J197" s="115" t="s">
        <v>74</v>
      </c>
      <c r="K197" s="115" t="s">
        <v>74</v>
      </c>
      <c r="L197" s="118">
        <f>L198+L200+L202+L204+L206+L208+L209+L210+L211+L212+L213+L214+L215+L216+L217+L218+L219+L220</f>
        <v>0</v>
      </c>
      <c r="M197" s="118">
        <f>M198+M200+M202+M204+M206+M208+M209+M210+M211+M212+M213+M214+M215+M216+M217+M218+M219+M220+M201+M221</f>
        <v>6025000</v>
      </c>
      <c r="N197" s="118">
        <f>N198+N200+N202+N204+N206+N208+N209+N210+N211+N212+N213+N214+N215</f>
        <v>0</v>
      </c>
    </row>
    <row r="198" spans="1:14" s="107" customFormat="1" ht="27.75" customHeight="1">
      <c r="A198" s="124" t="s">
        <v>342</v>
      </c>
      <c r="B198" s="115"/>
      <c r="C198" s="115">
        <v>131</v>
      </c>
      <c r="D198" s="115">
        <v>800000000</v>
      </c>
      <c r="E198" s="115"/>
      <c r="F198" s="115">
        <v>131</v>
      </c>
      <c r="G198" s="181" t="s">
        <v>524</v>
      </c>
      <c r="H198" s="125">
        <f>I198+J198+K198+L198+M198</f>
        <v>0</v>
      </c>
      <c r="I198" s="125">
        <v>0</v>
      </c>
      <c r="J198" s="125">
        <v>0</v>
      </c>
      <c r="K198" s="112"/>
      <c r="L198" s="111"/>
      <c r="M198" s="125">
        <v>0</v>
      </c>
      <c r="N198" s="125"/>
    </row>
    <row r="199" spans="1:14" s="107" customFormat="1" ht="12" customHeight="1">
      <c r="A199" s="124" t="s">
        <v>356</v>
      </c>
      <c r="B199" s="115"/>
      <c r="C199" s="115">
        <v>131</v>
      </c>
      <c r="D199" s="115">
        <v>800000000</v>
      </c>
      <c r="E199" s="115"/>
      <c r="F199" s="115">
        <v>131</v>
      </c>
      <c r="G199" s="181" t="s">
        <v>525</v>
      </c>
      <c r="H199" s="125">
        <f>I199+J199+K199+L199+M199</f>
        <v>0</v>
      </c>
      <c r="I199" s="125">
        <v>0</v>
      </c>
      <c r="J199" s="125">
        <v>0</v>
      </c>
      <c r="K199" s="112"/>
      <c r="L199" s="111"/>
      <c r="M199" s="125">
        <v>0</v>
      </c>
      <c r="N199" s="125"/>
    </row>
    <row r="200" spans="1:14" s="107" customFormat="1" ht="12" customHeight="1">
      <c r="A200" s="114" t="s">
        <v>343</v>
      </c>
      <c r="B200" s="115"/>
      <c r="C200" s="115">
        <v>131</v>
      </c>
      <c r="D200" s="115">
        <v>800000000</v>
      </c>
      <c r="E200" s="115"/>
      <c r="F200" s="115">
        <v>131</v>
      </c>
      <c r="G200" s="181" t="s">
        <v>524</v>
      </c>
      <c r="H200" s="125">
        <f aca="true" t="shared" si="16" ref="H200:H218">I200+J200+K200+L200+M200</f>
        <v>0</v>
      </c>
      <c r="I200" s="125">
        <v>0</v>
      </c>
      <c r="J200" s="125">
        <v>0</v>
      </c>
      <c r="K200" s="112"/>
      <c r="L200" s="111"/>
      <c r="M200" s="125">
        <v>0</v>
      </c>
      <c r="N200" s="125"/>
    </row>
    <row r="201" spans="1:14" s="121" customFormat="1" ht="12" customHeight="1">
      <c r="A201" s="114" t="s">
        <v>343</v>
      </c>
      <c r="B201" s="115"/>
      <c r="C201" s="115">
        <v>131</v>
      </c>
      <c r="D201" s="116" t="s">
        <v>521</v>
      </c>
      <c r="E201" s="115"/>
      <c r="F201" s="115">
        <v>131</v>
      </c>
      <c r="G201" s="117" t="s">
        <v>363</v>
      </c>
      <c r="H201" s="118">
        <f t="shared" si="16"/>
        <v>0</v>
      </c>
      <c r="I201" s="118">
        <v>0</v>
      </c>
      <c r="J201" s="118">
        <v>0</v>
      </c>
      <c r="K201" s="119"/>
      <c r="L201" s="123"/>
      <c r="M201" s="118">
        <v>0</v>
      </c>
      <c r="N201" s="118"/>
    </row>
    <row r="202" spans="1:14" s="107" customFormat="1" ht="26.25" customHeight="1">
      <c r="A202" s="108" t="s">
        <v>344</v>
      </c>
      <c r="B202" s="109"/>
      <c r="C202" s="109">
        <v>131</v>
      </c>
      <c r="D202" s="115">
        <v>800000000</v>
      </c>
      <c r="E202" s="109"/>
      <c r="F202" s="109">
        <v>131</v>
      </c>
      <c r="G202" s="102" t="s">
        <v>526</v>
      </c>
      <c r="H202" s="125">
        <f t="shared" si="16"/>
        <v>8963522.7</v>
      </c>
      <c r="I202" s="125">
        <f>292941+8670581.7</f>
        <v>8963522.7</v>
      </c>
      <c r="J202" s="125"/>
      <c r="K202" s="112"/>
      <c r="L202" s="111"/>
      <c r="M202" s="125"/>
      <c r="N202" s="125"/>
    </row>
    <row r="203" spans="1:14" s="107" customFormat="1" ht="26.25" customHeight="1">
      <c r="A203" s="108" t="s">
        <v>344</v>
      </c>
      <c r="B203" s="109"/>
      <c r="C203" s="109">
        <v>131</v>
      </c>
      <c r="D203" s="115">
        <v>800000000</v>
      </c>
      <c r="E203" s="109"/>
      <c r="F203" s="109">
        <v>131</v>
      </c>
      <c r="G203" s="102" t="s">
        <v>527</v>
      </c>
      <c r="H203" s="125">
        <f t="shared" si="16"/>
        <v>1712009.64</v>
      </c>
      <c r="I203" s="125">
        <f>1712009.64</f>
        <v>1712009.64</v>
      </c>
      <c r="J203" s="125"/>
      <c r="K203" s="112"/>
      <c r="L203" s="111"/>
      <c r="M203" s="125"/>
      <c r="N203" s="125"/>
    </row>
    <row r="204" spans="1:14" s="107" customFormat="1" ht="26.25" customHeight="1">
      <c r="A204" s="108" t="s">
        <v>345</v>
      </c>
      <c r="B204" s="109"/>
      <c r="C204" s="109">
        <v>131</v>
      </c>
      <c r="D204" s="115">
        <v>800000000</v>
      </c>
      <c r="E204" s="109"/>
      <c r="F204" s="109">
        <v>131</v>
      </c>
      <c r="G204" s="102" t="s">
        <v>526</v>
      </c>
      <c r="H204" s="125">
        <f t="shared" si="16"/>
        <v>11162689.2</v>
      </c>
      <c r="I204" s="125">
        <f>360180+10802509.2</f>
        <v>11162689.2</v>
      </c>
      <c r="J204" s="125"/>
      <c r="K204" s="112"/>
      <c r="L204" s="111"/>
      <c r="M204" s="125"/>
      <c r="N204" s="125"/>
    </row>
    <row r="205" spans="1:14" s="107" customFormat="1" ht="27.75" customHeight="1">
      <c r="A205" s="108" t="s">
        <v>345</v>
      </c>
      <c r="B205" s="109"/>
      <c r="C205" s="109">
        <v>131</v>
      </c>
      <c r="D205" s="115">
        <v>800000000</v>
      </c>
      <c r="E205" s="109"/>
      <c r="F205" s="109">
        <v>131</v>
      </c>
      <c r="G205" s="102" t="s">
        <v>527</v>
      </c>
      <c r="H205" s="125">
        <f t="shared" si="16"/>
        <v>1644933.36</v>
      </c>
      <c r="I205" s="125">
        <f>1644933.36</f>
        <v>1644933.36</v>
      </c>
      <c r="J205" s="125"/>
      <c r="K205" s="112"/>
      <c r="L205" s="111"/>
      <c r="M205" s="125"/>
      <c r="N205" s="125"/>
    </row>
    <row r="206" spans="1:14" s="107" customFormat="1" ht="26.25" customHeight="1">
      <c r="A206" s="108" t="s">
        <v>346</v>
      </c>
      <c r="B206" s="109"/>
      <c r="C206" s="109">
        <v>131</v>
      </c>
      <c r="D206" s="115">
        <v>800000000</v>
      </c>
      <c r="E206" s="109"/>
      <c r="F206" s="109">
        <v>131</v>
      </c>
      <c r="G206" s="102" t="s">
        <v>526</v>
      </c>
      <c r="H206" s="125">
        <f t="shared" si="16"/>
        <v>3986028.2</v>
      </c>
      <c r="I206" s="125">
        <f>122248+3863780.2</f>
        <v>3986028.2</v>
      </c>
      <c r="J206" s="125"/>
      <c r="K206" s="112"/>
      <c r="L206" s="111"/>
      <c r="M206" s="125"/>
      <c r="N206" s="125"/>
    </row>
    <row r="207" spans="1:14" s="107" customFormat="1" ht="26.25" customHeight="1">
      <c r="A207" s="108" t="s">
        <v>346</v>
      </c>
      <c r="B207" s="109"/>
      <c r="C207" s="109">
        <v>131</v>
      </c>
      <c r="D207" s="115">
        <v>800000000</v>
      </c>
      <c r="E207" s="109"/>
      <c r="F207" s="109">
        <v>131</v>
      </c>
      <c r="G207" s="102" t="s">
        <v>527</v>
      </c>
      <c r="H207" s="125">
        <f t="shared" si="16"/>
        <v>555423.64</v>
      </c>
      <c r="I207" s="125">
        <f>555423.64</f>
        <v>555423.64</v>
      </c>
      <c r="J207" s="125"/>
      <c r="K207" s="112"/>
      <c r="L207" s="111"/>
      <c r="M207" s="125"/>
      <c r="N207" s="125"/>
    </row>
    <row r="208" spans="1:14" s="107" customFormat="1" ht="12" customHeight="1">
      <c r="A208" s="108" t="s">
        <v>347</v>
      </c>
      <c r="B208" s="109"/>
      <c r="C208" s="109">
        <v>131</v>
      </c>
      <c r="D208" s="115">
        <v>800000000</v>
      </c>
      <c r="E208" s="109"/>
      <c r="F208" s="109">
        <v>131</v>
      </c>
      <c r="G208" s="110"/>
      <c r="H208" s="125">
        <f t="shared" si="16"/>
        <v>0</v>
      </c>
      <c r="I208" s="125">
        <v>0</v>
      </c>
      <c r="J208" s="125"/>
      <c r="K208" s="112"/>
      <c r="L208" s="111"/>
      <c r="M208" s="125"/>
      <c r="N208" s="125"/>
    </row>
    <row r="209" spans="1:14" s="107" customFormat="1" ht="27.75" customHeight="1">
      <c r="A209" s="126" t="s">
        <v>517</v>
      </c>
      <c r="B209" s="109"/>
      <c r="C209" s="109">
        <v>131</v>
      </c>
      <c r="D209" s="115">
        <v>800000000</v>
      </c>
      <c r="E209" s="109"/>
      <c r="F209" s="109">
        <v>131</v>
      </c>
      <c r="G209" s="110"/>
      <c r="H209" s="125">
        <f t="shared" si="16"/>
        <v>0</v>
      </c>
      <c r="I209" s="125">
        <v>0</v>
      </c>
      <c r="J209" s="125"/>
      <c r="K209" s="112"/>
      <c r="L209" s="111"/>
      <c r="M209" s="125"/>
      <c r="N209" s="125"/>
    </row>
    <row r="210" spans="1:14" s="107" customFormat="1" ht="44.25" customHeight="1">
      <c r="A210" s="108" t="s">
        <v>348</v>
      </c>
      <c r="B210" s="109"/>
      <c r="C210" s="109">
        <v>131</v>
      </c>
      <c r="D210" s="115">
        <v>800000000</v>
      </c>
      <c r="E210" s="109"/>
      <c r="F210" s="109">
        <v>131</v>
      </c>
      <c r="G210" s="110"/>
      <c r="H210" s="125">
        <f t="shared" si="16"/>
        <v>0</v>
      </c>
      <c r="I210" s="125">
        <v>0</v>
      </c>
      <c r="J210" s="125"/>
      <c r="K210" s="112"/>
      <c r="L210" s="111"/>
      <c r="M210" s="125"/>
      <c r="N210" s="125"/>
    </row>
    <row r="211" spans="1:14" s="107" customFormat="1" ht="22.5" customHeight="1">
      <c r="A211" s="114" t="s">
        <v>349</v>
      </c>
      <c r="B211" s="115"/>
      <c r="C211" s="115">
        <v>131</v>
      </c>
      <c r="D211" s="115">
        <v>800000000</v>
      </c>
      <c r="E211" s="115"/>
      <c r="F211" s="115">
        <v>131</v>
      </c>
      <c r="G211" s="122"/>
      <c r="H211" s="118">
        <f t="shared" si="16"/>
        <v>0</v>
      </c>
      <c r="I211" s="125">
        <v>0</v>
      </c>
      <c r="J211" s="125"/>
      <c r="K211" s="112"/>
      <c r="L211" s="111"/>
      <c r="M211" s="125"/>
      <c r="N211" s="125"/>
    </row>
    <row r="212" spans="1:14" s="107" customFormat="1" ht="31.5" customHeight="1">
      <c r="A212" s="127" t="s">
        <v>350</v>
      </c>
      <c r="B212" s="115"/>
      <c r="C212" s="115">
        <v>131</v>
      </c>
      <c r="D212" s="115">
        <v>800000000</v>
      </c>
      <c r="E212" s="115"/>
      <c r="F212" s="115">
        <v>131</v>
      </c>
      <c r="G212" s="122"/>
      <c r="H212" s="118">
        <f t="shared" si="16"/>
        <v>0</v>
      </c>
      <c r="I212" s="125">
        <v>0</v>
      </c>
      <c r="J212" s="125"/>
      <c r="K212" s="112"/>
      <c r="L212" s="111"/>
      <c r="M212" s="125"/>
      <c r="N212" s="125"/>
    </row>
    <row r="213" spans="1:14" s="107" customFormat="1" ht="43.5" customHeight="1">
      <c r="A213" s="114" t="s">
        <v>351</v>
      </c>
      <c r="B213" s="115"/>
      <c r="C213" s="115">
        <v>131</v>
      </c>
      <c r="D213" s="115">
        <v>800000000</v>
      </c>
      <c r="E213" s="115"/>
      <c r="F213" s="115">
        <v>131</v>
      </c>
      <c r="G213" s="122"/>
      <c r="H213" s="118">
        <f t="shared" si="16"/>
        <v>0</v>
      </c>
      <c r="I213" s="125">
        <v>0</v>
      </c>
      <c r="J213" s="125"/>
      <c r="K213" s="112"/>
      <c r="L213" s="111"/>
      <c r="M213" s="125"/>
      <c r="N213" s="125"/>
    </row>
    <row r="214" spans="1:14" s="107" customFormat="1" ht="33" customHeight="1">
      <c r="A214" s="114" t="s">
        <v>352</v>
      </c>
      <c r="B214" s="115"/>
      <c r="C214" s="115">
        <v>131</v>
      </c>
      <c r="D214" s="115">
        <v>800000000</v>
      </c>
      <c r="E214" s="115"/>
      <c r="F214" s="115">
        <v>131</v>
      </c>
      <c r="G214" s="122"/>
      <c r="H214" s="118">
        <f t="shared" si="16"/>
        <v>0</v>
      </c>
      <c r="I214" s="125">
        <v>0</v>
      </c>
      <c r="J214" s="125"/>
      <c r="K214" s="112"/>
      <c r="L214" s="111"/>
      <c r="M214" s="125"/>
      <c r="N214" s="125"/>
    </row>
    <row r="215" spans="1:14" s="107" customFormat="1" ht="25.5" customHeight="1">
      <c r="A215" s="114" t="s">
        <v>353</v>
      </c>
      <c r="B215" s="115"/>
      <c r="C215" s="115">
        <v>131</v>
      </c>
      <c r="D215" s="115">
        <v>800000000</v>
      </c>
      <c r="E215" s="115"/>
      <c r="F215" s="115">
        <v>131</v>
      </c>
      <c r="G215" s="122"/>
      <c r="H215" s="118">
        <f t="shared" si="16"/>
        <v>0</v>
      </c>
      <c r="I215" s="125">
        <v>0</v>
      </c>
      <c r="J215" s="125"/>
      <c r="K215" s="112"/>
      <c r="L215" s="111"/>
      <c r="M215" s="125"/>
      <c r="N215" s="125"/>
    </row>
    <row r="216" spans="1:14" s="107" customFormat="1" ht="25.5">
      <c r="A216" s="114" t="s">
        <v>51</v>
      </c>
      <c r="B216" s="115"/>
      <c r="C216" s="115">
        <v>131</v>
      </c>
      <c r="D216" s="115">
        <v>800000000</v>
      </c>
      <c r="E216" s="115"/>
      <c r="F216" s="115">
        <v>131</v>
      </c>
      <c r="G216" s="102" t="s">
        <v>527</v>
      </c>
      <c r="H216" s="118">
        <f t="shared" si="16"/>
        <v>805176</v>
      </c>
      <c r="I216" s="125">
        <v>805176</v>
      </c>
      <c r="J216" s="125"/>
      <c r="K216" s="112"/>
      <c r="L216" s="111"/>
      <c r="M216" s="125"/>
      <c r="N216" s="125"/>
    </row>
    <row r="217" spans="1:14" s="107" customFormat="1" ht="12.75">
      <c r="A217" s="114" t="s">
        <v>52</v>
      </c>
      <c r="B217" s="115"/>
      <c r="C217" s="115">
        <v>131</v>
      </c>
      <c r="D217" s="115">
        <v>800000000</v>
      </c>
      <c r="E217" s="115"/>
      <c r="F217" s="115">
        <v>131</v>
      </c>
      <c r="G217" s="102" t="s">
        <v>527</v>
      </c>
      <c r="H217" s="118">
        <f t="shared" si="16"/>
        <v>2959713</v>
      </c>
      <c r="I217" s="125">
        <v>2959713</v>
      </c>
      <c r="J217" s="125"/>
      <c r="K217" s="112"/>
      <c r="L217" s="111"/>
      <c r="M217" s="125"/>
      <c r="N217" s="125"/>
    </row>
    <row r="218" spans="1:14" s="128" customFormat="1" ht="12.75">
      <c r="A218" s="114" t="s">
        <v>46</v>
      </c>
      <c r="B218" s="115"/>
      <c r="C218" s="115">
        <v>131</v>
      </c>
      <c r="D218" s="116" t="s">
        <v>521</v>
      </c>
      <c r="E218" s="115"/>
      <c r="F218" s="115">
        <v>131</v>
      </c>
      <c r="G218" s="117" t="s">
        <v>363</v>
      </c>
      <c r="H218" s="118">
        <f t="shared" si="16"/>
        <v>5665000</v>
      </c>
      <c r="I218" s="118"/>
      <c r="J218" s="118"/>
      <c r="K218" s="119"/>
      <c r="L218" s="123"/>
      <c r="M218" s="118">
        <v>5665000</v>
      </c>
      <c r="N218" s="118"/>
    </row>
    <row r="219" spans="1:14" s="128" customFormat="1" ht="12.75">
      <c r="A219" s="114" t="s">
        <v>48</v>
      </c>
      <c r="B219" s="115"/>
      <c r="C219" s="115">
        <v>131</v>
      </c>
      <c r="D219" s="116" t="s">
        <v>521</v>
      </c>
      <c r="E219" s="115"/>
      <c r="F219" s="115">
        <v>131</v>
      </c>
      <c r="G219" s="117" t="s">
        <v>363</v>
      </c>
      <c r="H219" s="118">
        <f>I219+J219+K219+L219+M219</f>
        <v>0</v>
      </c>
      <c r="I219" s="118"/>
      <c r="J219" s="118"/>
      <c r="K219" s="119"/>
      <c r="L219" s="123"/>
      <c r="M219" s="118"/>
      <c r="N219" s="118"/>
    </row>
    <row r="220" spans="1:14" s="128" customFormat="1" ht="15.75" customHeight="1">
      <c r="A220" s="114" t="s">
        <v>368</v>
      </c>
      <c r="B220" s="115"/>
      <c r="C220" s="115">
        <v>134</v>
      </c>
      <c r="D220" s="116" t="s">
        <v>521</v>
      </c>
      <c r="E220" s="115"/>
      <c r="F220" s="115">
        <v>134</v>
      </c>
      <c r="G220" s="117" t="s">
        <v>363</v>
      </c>
      <c r="H220" s="118">
        <f>I220+J220+K220+L220+M220</f>
        <v>0</v>
      </c>
      <c r="I220" s="118"/>
      <c r="J220" s="118"/>
      <c r="K220" s="119"/>
      <c r="L220" s="123"/>
      <c r="M220" s="118"/>
      <c r="N220" s="118"/>
    </row>
    <row r="221" spans="1:14" s="128" customFormat="1" ht="21" customHeight="1">
      <c r="A221" s="114" t="s">
        <v>47</v>
      </c>
      <c r="B221" s="115"/>
      <c r="C221" s="115">
        <v>135</v>
      </c>
      <c r="D221" s="116" t="s">
        <v>521</v>
      </c>
      <c r="E221" s="115"/>
      <c r="F221" s="115">
        <v>135</v>
      </c>
      <c r="G221" s="117" t="s">
        <v>363</v>
      </c>
      <c r="H221" s="118">
        <f>I221+J221+K221+L221+M221</f>
        <v>360000</v>
      </c>
      <c r="I221" s="118"/>
      <c r="J221" s="118"/>
      <c r="K221" s="119"/>
      <c r="L221" s="123"/>
      <c r="M221" s="118">
        <v>360000</v>
      </c>
      <c r="N221" s="118"/>
    </row>
    <row r="222" spans="1:14" s="134" customFormat="1" ht="21.75" customHeight="1">
      <c r="A222" s="129" t="s">
        <v>432</v>
      </c>
      <c r="B222" s="130">
        <v>130</v>
      </c>
      <c r="C222" s="130">
        <v>140</v>
      </c>
      <c r="D222" s="116" t="s">
        <v>521</v>
      </c>
      <c r="E222" s="130"/>
      <c r="F222" s="130">
        <v>140</v>
      </c>
      <c r="G222" s="131" t="s">
        <v>363</v>
      </c>
      <c r="H222" s="132">
        <f>M222</f>
        <v>0</v>
      </c>
      <c r="I222" s="130" t="s">
        <v>74</v>
      </c>
      <c r="J222" s="130" t="s">
        <v>74</v>
      </c>
      <c r="K222" s="130" t="s">
        <v>74</v>
      </c>
      <c r="L222" s="130" t="s">
        <v>74</v>
      </c>
      <c r="M222" s="133">
        <f>M224+M225+M226+M227+M228</f>
        <v>0</v>
      </c>
      <c r="N222" s="130" t="s">
        <v>74</v>
      </c>
    </row>
    <row r="223" spans="1:14" s="128" customFormat="1" ht="12.75">
      <c r="A223" s="114" t="s">
        <v>364</v>
      </c>
      <c r="B223" s="115"/>
      <c r="C223" s="115"/>
      <c r="D223" s="116"/>
      <c r="E223" s="115"/>
      <c r="F223" s="115"/>
      <c r="G223" s="122"/>
      <c r="H223" s="118"/>
      <c r="I223" s="122"/>
      <c r="J223" s="115"/>
      <c r="K223" s="119"/>
      <c r="L223" s="123"/>
      <c r="M223" s="118"/>
      <c r="N223" s="123"/>
    </row>
    <row r="224" spans="1:14" s="128" customFormat="1" ht="38.25">
      <c r="A224" s="114" t="s">
        <v>369</v>
      </c>
      <c r="B224" s="115"/>
      <c r="C224" s="115">
        <v>141</v>
      </c>
      <c r="D224" s="116" t="s">
        <v>521</v>
      </c>
      <c r="E224" s="115"/>
      <c r="F224" s="115">
        <v>141</v>
      </c>
      <c r="G224" s="117" t="s">
        <v>363</v>
      </c>
      <c r="H224" s="118">
        <f>I224+J224+K224+L224+M224</f>
        <v>0</v>
      </c>
      <c r="I224" s="122"/>
      <c r="J224" s="115"/>
      <c r="K224" s="119"/>
      <c r="L224" s="123"/>
      <c r="M224" s="118"/>
      <c r="N224" s="123"/>
    </row>
    <row r="225" spans="1:14" s="128" customFormat="1" ht="25.5">
      <c r="A225" s="114" t="s">
        <v>370</v>
      </c>
      <c r="B225" s="115"/>
      <c r="C225" s="115">
        <v>142</v>
      </c>
      <c r="D225" s="116" t="s">
        <v>521</v>
      </c>
      <c r="E225" s="115"/>
      <c r="F225" s="115">
        <v>142</v>
      </c>
      <c r="G225" s="117" t="s">
        <v>363</v>
      </c>
      <c r="H225" s="118">
        <f>I225+J225+K225+L225+M225</f>
        <v>0</v>
      </c>
      <c r="I225" s="122"/>
      <c r="J225" s="115"/>
      <c r="K225" s="119"/>
      <c r="L225" s="123"/>
      <c r="M225" s="118"/>
      <c r="N225" s="123"/>
    </row>
    <row r="226" spans="1:14" s="128" customFormat="1" ht="15" customHeight="1">
      <c r="A226" s="114" t="s">
        <v>371</v>
      </c>
      <c r="B226" s="115"/>
      <c r="C226" s="115">
        <v>143</v>
      </c>
      <c r="D226" s="116" t="s">
        <v>521</v>
      </c>
      <c r="E226" s="115"/>
      <c r="F226" s="115">
        <v>143</v>
      </c>
      <c r="G226" s="117" t="s">
        <v>363</v>
      </c>
      <c r="H226" s="118">
        <f>I226+J226+K226+L226+M226</f>
        <v>0</v>
      </c>
      <c r="I226" s="122"/>
      <c r="J226" s="115"/>
      <c r="K226" s="119"/>
      <c r="L226" s="123"/>
      <c r="M226" s="118"/>
      <c r="N226" s="123"/>
    </row>
    <row r="227" spans="1:14" s="128" customFormat="1" ht="15" customHeight="1">
      <c r="A227" s="114" t="s">
        <v>372</v>
      </c>
      <c r="B227" s="115"/>
      <c r="C227" s="115">
        <v>144</v>
      </c>
      <c r="D227" s="116" t="s">
        <v>521</v>
      </c>
      <c r="E227" s="115"/>
      <c r="F227" s="115">
        <v>144</v>
      </c>
      <c r="G227" s="117" t="s">
        <v>363</v>
      </c>
      <c r="H227" s="118">
        <f>I227+J227+K227+L227+M227</f>
        <v>0</v>
      </c>
      <c r="I227" s="122"/>
      <c r="J227" s="115"/>
      <c r="K227" s="119"/>
      <c r="L227" s="123"/>
      <c r="M227" s="118"/>
      <c r="N227" s="123"/>
    </row>
    <row r="228" spans="1:14" s="128" customFormat="1" ht="15" customHeight="1">
      <c r="A228" s="114" t="s">
        <v>373</v>
      </c>
      <c r="B228" s="115"/>
      <c r="C228" s="115">
        <v>145</v>
      </c>
      <c r="D228" s="116" t="s">
        <v>521</v>
      </c>
      <c r="E228" s="115"/>
      <c r="F228" s="115">
        <v>145</v>
      </c>
      <c r="G228" s="117" t="s">
        <v>363</v>
      </c>
      <c r="H228" s="118">
        <f>I228+J228+K228+L228+M228</f>
        <v>0</v>
      </c>
      <c r="I228" s="122"/>
      <c r="J228" s="115"/>
      <c r="K228" s="119"/>
      <c r="L228" s="123"/>
      <c r="M228" s="118"/>
      <c r="N228" s="123"/>
    </row>
    <row r="229" spans="1:14" s="107" customFormat="1" ht="40.5" customHeight="1">
      <c r="A229" s="114" t="s">
        <v>49</v>
      </c>
      <c r="B229" s="115">
        <v>140</v>
      </c>
      <c r="C229" s="115"/>
      <c r="D229" s="116" t="s">
        <v>521</v>
      </c>
      <c r="E229" s="115"/>
      <c r="F229" s="115"/>
      <c r="G229" s="122"/>
      <c r="H229" s="118">
        <f>M229</f>
        <v>0</v>
      </c>
      <c r="I229" s="109" t="s">
        <v>74</v>
      </c>
      <c r="J229" s="109" t="s">
        <v>74</v>
      </c>
      <c r="K229" s="109" t="s">
        <v>74</v>
      </c>
      <c r="L229" s="109" t="s">
        <v>74</v>
      </c>
      <c r="M229" s="109"/>
      <c r="N229" s="109" t="s">
        <v>74</v>
      </c>
    </row>
    <row r="230" spans="1:14" s="107" customFormat="1" ht="27.75" customHeight="1">
      <c r="A230" s="114" t="s">
        <v>167</v>
      </c>
      <c r="B230" s="115">
        <v>150</v>
      </c>
      <c r="C230" s="115">
        <v>150</v>
      </c>
      <c r="D230" s="115">
        <v>901000000</v>
      </c>
      <c r="E230" s="115"/>
      <c r="F230" s="115">
        <v>150</v>
      </c>
      <c r="G230" s="122"/>
      <c r="H230" s="118">
        <f>J230+K230</f>
        <v>0</v>
      </c>
      <c r="I230" s="109" t="s">
        <v>74</v>
      </c>
      <c r="J230" s="135">
        <f>SUM(J231:J236)</f>
        <v>0</v>
      </c>
      <c r="K230" s="109">
        <f>K231</f>
        <v>0</v>
      </c>
      <c r="L230" s="109" t="s">
        <v>74</v>
      </c>
      <c r="M230" s="109" t="s">
        <v>74</v>
      </c>
      <c r="N230" s="109" t="s">
        <v>74</v>
      </c>
    </row>
    <row r="231" spans="1:14" s="107" customFormat="1" ht="21.75" customHeight="1">
      <c r="A231" s="114" t="s">
        <v>167</v>
      </c>
      <c r="B231" s="115">
        <v>150</v>
      </c>
      <c r="C231" s="115">
        <v>152</v>
      </c>
      <c r="D231" s="115">
        <v>901480000</v>
      </c>
      <c r="E231" s="115"/>
      <c r="F231" s="115">
        <v>152</v>
      </c>
      <c r="G231" s="122" t="s">
        <v>526</v>
      </c>
      <c r="H231" s="118">
        <f>J231+K231</f>
        <v>0</v>
      </c>
      <c r="I231" s="109"/>
      <c r="J231" s="125">
        <v>0</v>
      </c>
      <c r="K231" s="112"/>
      <c r="L231" s="109" t="s">
        <v>74</v>
      </c>
      <c r="M231" s="109" t="s">
        <v>74</v>
      </c>
      <c r="N231" s="109" t="s">
        <v>74</v>
      </c>
    </row>
    <row r="232" spans="1:14" s="107" customFormat="1" ht="21.75" customHeight="1">
      <c r="A232" s="114" t="s">
        <v>167</v>
      </c>
      <c r="B232" s="115">
        <v>150</v>
      </c>
      <c r="C232" s="115">
        <v>152</v>
      </c>
      <c r="D232" s="115">
        <v>901160000</v>
      </c>
      <c r="E232" s="115"/>
      <c r="F232" s="115">
        <v>152</v>
      </c>
      <c r="G232" s="122" t="s">
        <v>526</v>
      </c>
      <c r="H232" s="118">
        <f aca="true" t="shared" si="17" ref="H232:H237">J232+K232</f>
        <v>0</v>
      </c>
      <c r="I232" s="109"/>
      <c r="J232" s="125">
        <v>0</v>
      </c>
      <c r="K232" s="112"/>
      <c r="L232" s="109" t="s">
        <v>74</v>
      </c>
      <c r="M232" s="109" t="s">
        <v>74</v>
      </c>
      <c r="N232" s="109" t="s">
        <v>74</v>
      </c>
    </row>
    <row r="233" spans="1:14" s="107" customFormat="1" ht="21.75" customHeight="1">
      <c r="A233" s="114" t="s">
        <v>167</v>
      </c>
      <c r="B233" s="115">
        <v>150</v>
      </c>
      <c r="C233" s="115">
        <v>152</v>
      </c>
      <c r="D233" s="115">
        <v>901830000</v>
      </c>
      <c r="E233" s="115"/>
      <c r="F233" s="115">
        <v>152</v>
      </c>
      <c r="G233" s="122" t="s">
        <v>526</v>
      </c>
      <c r="H233" s="118">
        <f t="shared" si="17"/>
        <v>0</v>
      </c>
      <c r="I233" s="109"/>
      <c r="J233" s="125">
        <v>0</v>
      </c>
      <c r="K233" s="112"/>
      <c r="L233" s="109" t="s">
        <v>74</v>
      </c>
      <c r="M233" s="109" t="s">
        <v>74</v>
      </c>
      <c r="N233" s="109" t="s">
        <v>74</v>
      </c>
    </row>
    <row r="234" spans="1:14" s="107" customFormat="1" ht="21.75" customHeight="1">
      <c r="A234" s="114" t="s">
        <v>167</v>
      </c>
      <c r="B234" s="115">
        <v>150</v>
      </c>
      <c r="C234" s="115">
        <v>152</v>
      </c>
      <c r="D234" s="115">
        <v>901210000</v>
      </c>
      <c r="E234" s="115"/>
      <c r="F234" s="115">
        <v>152</v>
      </c>
      <c r="G234" s="117" t="s">
        <v>528</v>
      </c>
      <c r="H234" s="118">
        <f t="shared" si="17"/>
        <v>0</v>
      </c>
      <c r="I234" s="109"/>
      <c r="J234" s="125">
        <v>0</v>
      </c>
      <c r="K234" s="112"/>
      <c r="L234" s="109" t="s">
        <v>74</v>
      </c>
      <c r="M234" s="109" t="s">
        <v>74</v>
      </c>
      <c r="N234" s="109" t="s">
        <v>74</v>
      </c>
    </row>
    <row r="235" spans="1:14" s="107" customFormat="1" ht="21.75" customHeight="1">
      <c r="A235" s="114" t="s">
        <v>167</v>
      </c>
      <c r="B235" s="115">
        <v>150</v>
      </c>
      <c r="C235" s="115">
        <v>152</v>
      </c>
      <c r="D235" s="115">
        <v>901150000</v>
      </c>
      <c r="E235" s="115"/>
      <c r="F235" s="115">
        <v>152</v>
      </c>
      <c r="G235" s="122" t="s">
        <v>526</v>
      </c>
      <c r="H235" s="118">
        <f t="shared" si="17"/>
        <v>0</v>
      </c>
      <c r="I235" s="109"/>
      <c r="J235" s="125">
        <v>0</v>
      </c>
      <c r="K235" s="112"/>
      <c r="L235" s="109" t="s">
        <v>74</v>
      </c>
      <c r="M235" s="109" t="s">
        <v>74</v>
      </c>
      <c r="N235" s="109" t="s">
        <v>74</v>
      </c>
    </row>
    <row r="236" spans="1:14" s="107" customFormat="1" ht="21.75" customHeight="1">
      <c r="A236" s="114" t="s">
        <v>167</v>
      </c>
      <c r="B236" s="115">
        <v>150</v>
      </c>
      <c r="C236" s="115">
        <v>152</v>
      </c>
      <c r="D236" s="115">
        <v>901140000</v>
      </c>
      <c r="E236" s="115"/>
      <c r="F236" s="115">
        <v>152</v>
      </c>
      <c r="G236" s="122" t="s">
        <v>526</v>
      </c>
      <c r="H236" s="118">
        <f t="shared" si="17"/>
        <v>0</v>
      </c>
      <c r="I236" s="109"/>
      <c r="J236" s="125">
        <v>0</v>
      </c>
      <c r="K236" s="112"/>
      <c r="L236" s="109" t="s">
        <v>74</v>
      </c>
      <c r="M236" s="109" t="s">
        <v>74</v>
      </c>
      <c r="N236" s="109" t="s">
        <v>74</v>
      </c>
    </row>
    <row r="237" spans="1:14" s="107" customFormat="1" ht="21.75" customHeight="1">
      <c r="A237" s="114" t="s">
        <v>167</v>
      </c>
      <c r="B237" s="115">
        <v>150</v>
      </c>
      <c r="C237" s="115">
        <v>152</v>
      </c>
      <c r="D237" s="115">
        <v>901750000</v>
      </c>
      <c r="E237" s="115"/>
      <c r="F237" s="115">
        <v>152</v>
      </c>
      <c r="G237" s="122" t="s">
        <v>534</v>
      </c>
      <c r="H237" s="118">
        <f t="shared" si="17"/>
        <v>0</v>
      </c>
      <c r="I237" s="109"/>
      <c r="J237" s="125">
        <v>0</v>
      </c>
      <c r="K237" s="112"/>
      <c r="L237" s="109"/>
      <c r="M237" s="110"/>
      <c r="N237" s="110"/>
    </row>
    <row r="238" spans="1:14" s="128" customFormat="1" ht="21.75" customHeight="1">
      <c r="A238" s="114" t="s">
        <v>210</v>
      </c>
      <c r="B238" s="115">
        <v>160</v>
      </c>
      <c r="C238" s="115">
        <v>180</v>
      </c>
      <c r="D238" s="116" t="s">
        <v>521</v>
      </c>
      <c r="E238" s="115"/>
      <c r="F238" s="115">
        <v>180</v>
      </c>
      <c r="G238" s="117" t="s">
        <v>363</v>
      </c>
      <c r="H238" s="118">
        <f aca="true" t="shared" si="18" ref="H238:H244">M238</f>
        <v>0</v>
      </c>
      <c r="I238" s="115" t="s">
        <v>74</v>
      </c>
      <c r="J238" s="115" t="s">
        <v>74</v>
      </c>
      <c r="K238" s="115" t="s">
        <v>74</v>
      </c>
      <c r="L238" s="115" t="s">
        <v>74</v>
      </c>
      <c r="M238" s="118">
        <f>M239+M240</f>
        <v>0</v>
      </c>
      <c r="N238" s="118">
        <f>N239+N240</f>
        <v>0</v>
      </c>
    </row>
    <row r="239" spans="1:14" s="128" customFormat="1" ht="15" customHeight="1">
      <c r="A239" s="136" t="s">
        <v>133</v>
      </c>
      <c r="B239" s="115"/>
      <c r="C239" s="115">
        <v>189</v>
      </c>
      <c r="D239" s="116" t="s">
        <v>521</v>
      </c>
      <c r="E239" s="115"/>
      <c r="F239" s="115">
        <v>189</v>
      </c>
      <c r="G239" s="117" t="s">
        <v>363</v>
      </c>
      <c r="H239" s="118">
        <f t="shared" si="18"/>
        <v>0</v>
      </c>
      <c r="I239" s="118"/>
      <c r="J239" s="118"/>
      <c r="K239" s="119"/>
      <c r="L239" s="123"/>
      <c r="M239" s="118"/>
      <c r="N239" s="118"/>
    </row>
    <row r="240" spans="1:14" s="128" customFormat="1" ht="15" customHeight="1">
      <c r="A240" s="136" t="s">
        <v>134</v>
      </c>
      <c r="B240" s="115"/>
      <c r="C240" s="115">
        <v>189</v>
      </c>
      <c r="D240" s="116" t="s">
        <v>521</v>
      </c>
      <c r="E240" s="115"/>
      <c r="F240" s="115">
        <v>189</v>
      </c>
      <c r="G240" s="117" t="s">
        <v>363</v>
      </c>
      <c r="H240" s="118">
        <f t="shared" si="18"/>
        <v>0</v>
      </c>
      <c r="I240" s="118"/>
      <c r="J240" s="118"/>
      <c r="K240" s="119"/>
      <c r="L240" s="123"/>
      <c r="M240" s="118"/>
      <c r="N240" s="118"/>
    </row>
    <row r="241" spans="1:14" s="128" customFormat="1" ht="23.25" customHeight="1">
      <c r="A241" s="114" t="s">
        <v>211</v>
      </c>
      <c r="B241" s="115">
        <v>180</v>
      </c>
      <c r="C241" s="115">
        <v>400</v>
      </c>
      <c r="D241" s="116" t="s">
        <v>521</v>
      </c>
      <c r="E241" s="115" t="s">
        <v>74</v>
      </c>
      <c r="F241" s="115">
        <v>400</v>
      </c>
      <c r="G241" s="117" t="s">
        <v>363</v>
      </c>
      <c r="H241" s="118">
        <f t="shared" si="18"/>
        <v>0</v>
      </c>
      <c r="I241" s="115" t="s">
        <v>74</v>
      </c>
      <c r="J241" s="115" t="s">
        <v>74</v>
      </c>
      <c r="K241" s="115" t="s">
        <v>74</v>
      </c>
      <c r="L241" s="115" t="s">
        <v>74</v>
      </c>
      <c r="M241" s="118">
        <f>M242+M243+M244+M246+M245</f>
        <v>0</v>
      </c>
      <c r="N241" s="115" t="s">
        <v>74</v>
      </c>
    </row>
    <row r="242" spans="1:14" s="128" customFormat="1" ht="15" customHeight="1">
      <c r="A242" s="137" t="s">
        <v>374</v>
      </c>
      <c r="B242" s="115"/>
      <c r="C242" s="115">
        <v>410</v>
      </c>
      <c r="D242" s="116" t="s">
        <v>521</v>
      </c>
      <c r="E242" s="115"/>
      <c r="F242" s="115">
        <v>410</v>
      </c>
      <c r="G242" s="117" t="s">
        <v>363</v>
      </c>
      <c r="H242" s="118">
        <f t="shared" si="18"/>
        <v>0</v>
      </c>
      <c r="I242" s="118"/>
      <c r="J242" s="118"/>
      <c r="K242" s="119"/>
      <c r="L242" s="123"/>
      <c r="M242" s="118"/>
      <c r="N242" s="118"/>
    </row>
    <row r="243" spans="1:14" s="128" customFormat="1" ht="15" customHeight="1">
      <c r="A243" s="137" t="s">
        <v>375</v>
      </c>
      <c r="B243" s="115"/>
      <c r="C243" s="115">
        <v>420</v>
      </c>
      <c r="D243" s="116" t="s">
        <v>521</v>
      </c>
      <c r="E243" s="115"/>
      <c r="F243" s="115">
        <v>420</v>
      </c>
      <c r="G243" s="117" t="s">
        <v>363</v>
      </c>
      <c r="H243" s="118">
        <f t="shared" si="18"/>
        <v>0</v>
      </c>
      <c r="I243" s="118"/>
      <c r="J243" s="118"/>
      <c r="K243" s="119"/>
      <c r="L243" s="123"/>
      <c r="M243" s="118"/>
      <c r="N243" s="118"/>
    </row>
    <row r="244" spans="1:14" s="128" customFormat="1" ht="15" customHeight="1">
      <c r="A244" s="137" t="s">
        <v>376</v>
      </c>
      <c r="B244" s="115"/>
      <c r="C244" s="115">
        <v>430</v>
      </c>
      <c r="D244" s="116" t="s">
        <v>521</v>
      </c>
      <c r="E244" s="115"/>
      <c r="F244" s="115">
        <v>430</v>
      </c>
      <c r="G244" s="117" t="s">
        <v>363</v>
      </c>
      <c r="H244" s="118">
        <f t="shared" si="18"/>
        <v>0</v>
      </c>
      <c r="I244" s="118"/>
      <c r="J244" s="118"/>
      <c r="K244" s="119"/>
      <c r="L244" s="123"/>
      <c r="M244" s="118"/>
      <c r="N244" s="118"/>
    </row>
    <row r="245" spans="1:14" s="121" customFormat="1" ht="15" customHeight="1">
      <c r="A245" s="137" t="s">
        <v>425</v>
      </c>
      <c r="B245" s="115"/>
      <c r="C245" s="115">
        <v>440</v>
      </c>
      <c r="D245" s="116" t="s">
        <v>521</v>
      </c>
      <c r="E245" s="115"/>
      <c r="F245" s="115">
        <v>440</v>
      </c>
      <c r="G245" s="117" t="s">
        <v>363</v>
      </c>
      <c r="H245" s="118">
        <f>M245</f>
        <v>0</v>
      </c>
      <c r="I245" s="118"/>
      <c r="J245" s="118"/>
      <c r="K245" s="119"/>
      <c r="L245" s="123"/>
      <c r="M245" s="118"/>
      <c r="N245" s="118"/>
    </row>
    <row r="246" spans="1:14" s="128" customFormat="1" ht="15" customHeight="1">
      <c r="A246" s="137" t="s">
        <v>377</v>
      </c>
      <c r="B246" s="115"/>
      <c r="C246" s="115">
        <v>450</v>
      </c>
      <c r="D246" s="116" t="s">
        <v>521</v>
      </c>
      <c r="E246" s="115"/>
      <c r="F246" s="115">
        <v>450</v>
      </c>
      <c r="G246" s="117" t="s">
        <v>363</v>
      </c>
      <c r="H246" s="118">
        <f>M246</f>
        <v>0</v>
      </c>
      <c r="I246" s="118"/>
      <c r="J246" s="118"/>
      <c r="K246" s="119"/>
      <c r="L246" s="123"/>
      <c r="M246" s="118"/>
      <c r="N246" s="118"/>
    </row>
    <row r="247" spans="1:14" s="8" customFormat="1" ht="11.25" customHeight="1">
      <c r="A247" s="138" t="s">
        <v>44</v>
      </c>
      <c r="B247" s="139">
        <v>200</v>
      </c>
      <c r="C247" s="139"/>
      <c r="D247" s="139"/>
      <c r="E247" s="139"/>
      <c r="F247" s="140"/>
      <c r="G247" s="140"/>
      <c r="H247" s="141">
        <f aca="true" t="shared" si="19" ref="H247:N247">H249+H265+H272+H286+H287+H291</f>
        <v>38565022.099999994</v>
      </c>
      <c r="I247" s="141">
        <f t="shared" si="19"/>
        <v>31789495.74</v>
      </c>
      <c r="J247" s="141">
        <f t="shared" si="19"/>
        <v>0</v>
      </c>
      <c r="K247" s="141">
        <f t="shared" si="19"/>
        <v>0</v>
      </c>
      <c r="L247" s="141">
        <f t="shared" si="19"/>
        <v>0</v>
      </c>
      <c r="M247" s="141">
        <f t="shared" si="19"/>
        <v>6775526.359999999</v>
      </c>
      <c r="N247" s="141">
        <f t="shared" si="19"/>
        <v>0</v>
      </c>
    </row>
    <row r="248" spans="1:14" s="8" customFormat="1" ht="13.5" customHeight="1">
      <c r="A248" s="142" t="s">
        <v>4</v>
      </c>
      <c r="B248" s="109"/>
      <c r="C248" s="109"/>
      <c r="D248" s="109"/>
      <c r="E248" s="109"/>
      <c r="F248" s="109"/>
      <c r="G248" s="110"/>
      <c r="H248" s="125"/>
      <c r="I248" s="125"/>
      <c r="J248" s="125"/>
      <c r="K248" s="113"/>
      <c r="L248" s="113"/>
      <c r="M248" s="113"/>
      <c r="N248" s="113"/>
    </row>
    <row r="249" spans="1:14" s="8" customFormat="1" ht="13.5" customHeight="1">
      <c r="A249" s="142" t="s">
        <v>296</v>
      </c>
      <c r="B249" s="109">
        <v>210</v>
      </c>
      <c r="C249" s="109"/>
      <c r="D249" s="109"/>
      <c r="E249" s="109"/>
      <c r="F249" s="109"/>
      <c r="G249" s="110"/>
      <c r="H249" s="125">
        <f>H251</f>
        <v>26108364.359999996</v>
      </c>
      <c r="I249" s="125">
        <f aca="true" t="shared" si="20" ref="I249:N249">I251</f>
        <v>23336871.099999998</v>
      </c>
      <c r="J249" s="125">
        <f t="shared" si="20"/>
        <v>0</v>
      </c>
      <c r="K249" s="125">
        <f t="shared" si="20"/>
        <v>0</v>
      </c>
      <c r="L249" s="125">
        <f t="shared" si="20"/>
        <v>0</v>
      </c>
      <c r="M249" s="125">
        <f t="shared" si="20"/>
        <v>2771493.26</v>
      </c>
      <c r="N249" s="125">
        <f t="shared" si="20"/>
        <v>0</v>
      </c>
    </row>
    <row r="250" spans="1:14" s="8" customFormat="1" ht="13.5" customHeight="1">
      <c r="A250" s="143" t="s">
        <v>3</v>
      </c>
      <c r="B250" s="115"/>
      <c r="C250" s="115"/>
      <c r="D250" s="115"/>
      <c r="E250" s="115"/>
      <c r="F250" s="115"/>
      <c r="G250" s="122"/>
      <c r="H250" s="118"/>
      <c r="I250" s="125"/>
      <c r="J250" s="125"/>
      <c r="K250" s="113"/>
      <c r="L250" s="113"/>
      <c r="M250" s="113"/>
      <c r="N250" s="113"/>
    </row>
    <row r="251" spans="1:14" s="8" customFormat="1" ht="25.5" customHeight="1">
      <c r="A251" s="143" t="s">
        <v>297</v>
      </c>
      <c r="B251" s="115">
        <v>211</v>
      </c>
      <c r="C251" s="115"/>
      <c r="D251" s="115"/>
      <c r="E251" s="115"/>
      <c r="F251" s="115"/>
      <c r="G251" s="122"/>
      <c r="H251" s="118">
        <f>SUM(H253:H264)</f>
        <v>26108364.359999996</v>
      </c>
      <c r="I251" s="125">
        <f>I253+I258+I259+I260</f>
        <v>23336871.099999998</v>
      </c>
      <c r="J251" s="125">
        <f>SUM(J253:J263)</f>
        <v>0</v>
      </c>
      <c r="K251" s="125">
        <f>K253+K258+K259+K260</f>
        <v>0</v>
      </c>
      <c r="L251" s="125">
        <f>L253+L258+L259+L260</f>
        <v>0</v>
      </c>
      <c r="M251" s="125">
        <f>SUM(M253:M264)</f>
        <v>2771493.26</v>
      </c>
      <c r="N251" s="125">
        <f>N253+N258+N259+N260</f>
        <v>0</v>
      </c>
    </row>
    <row r="252" spans="1:14" s="8" customFormat="1" ht="16.5" customHeight="1">
      <c r="A252" s="143" t="s">
        <v>4</v>
      </c>
      <c r="B252" s="115"/>
      <c r="C252" s="115"/>
      <c r="D252" s="115"/>
      <c r="E252" s="115"/>
      <c r="F252" s="115"/>
      <c r="G252" s="122"/>
      <c r="H252" s="118"/>
      <c r="I252" s="125"/>
      <c r="J252" s="125"/>
      <c r="K252" s="113"/>
      <c r="L252" s="113"/>
      <c r="M252" s="113"/>
      <c r="N252" s="113"/>
    </row>
    <row r="253" spans="1:14" s="8" customFormat="1" ht="16.5" customHeight="1">
      <c r="A253" s="143" t="s">
        <v>298</v>
      </c>
      <c r="B253" s="115"/>
      <c r="C253" s="115">
        <v>211</v>
      </c>
      <c r="D253" s="115">
        <v>800000000</v>
      </c>
      <c r="E253" s="115">
        <v>111</v>
      </c>
      <c r="F253" s="115">
        <v>211</v>
      </c>
      <c r="G253" s="102" t="s">
        <v>523</v>
      </c>
      <c r="H253" s="118">
        <f>I253+J253+K253+L253+M253+N253</f>
        <v>17923864.13</v>
      </c>
      <c r="I253" s="125">
        <v>17923864.13</v>
      </c>
      <c r="J253" s="125"/>
      <c r="K253" s="113"/>
      <c r="L253" s="113"/>
      <c r="M253" s="113"/>
      <c r="N253" s="113"/>
    </row>
    <row r="254" spans="1:14" s="8" customFormat="1" ht="16.5" customHeight="1">
      <c r="A254" s="143" t="s">
        <v>298</v>
      </c>
      <c r="B254" s="115"/>
      <c r="C254" s="115">
        <v>211</v>
      </c>
      <c r="D254" s="115">
        <v>901480000</v>
      </c>
      <c r="E254" s="115">
        <v>111</v>
      </c>
      <c r="F254" s="115">
        <v>211</v>
      </c>
      <c r="G254" s="102" t="s">
        <v>523</v>
      </c>
      <c r="H254" s="118">
        <f>SUM(I254:J254)</f>
        <v>0</v>
      </c>
      <c r="I254" s="125"/>
      <c r="J254" s="125">
        <v>0</v>
      </c>
      <c r="K254" s="113"/>
      <c r="L254" s="113"/>
      <c r="M254" s="113"/>
      <c r="N254" s="113"/>
    </row>
    <row r="255" spans="1:14" s="8" customFormat="1" ht="16.5" customHeight="1">
      <c r="A255" s="143" t="s">
        <v>298</v>
      </c>
      <c r="B255" s="115"/>
      <c r="C255" s="115">
        <v>211</v>
      </c>
      <c r="D255" s="115">
        <v>901160000</v>
      </c>
      <c r="E255" s="115">
        <v>111</v>
      </c>
      <c r="F255" s="115">
        <v>211</v>
      </c>
      <c r="G255" s="102" t="s">
        <v>523</v>
      </c>
      <c r="H255" s="118">
        <f>SUM(I255:J255)</f>
        <v>0</v>
      </c>
      <c r="I255" s="125"/>
      <c r="J255" s="125">
        <v>0</v>
      </c>
      <c r="K255" s="113"/>
      <c r="L255" s="113"/>
      <c r="M255" s="113"/>
      <c r="N255" s="113"/>
    </row>
    <row r="256" spans="1:14" s="8" customFormat="1" ht="16.5" customHeight="1">
      <c r="A256" s="143" t="s">
        <v>298</v>
      </c>
      <c r="B256" s="115"/>
      <c r="C256" s="115">
        <v>211</v>
      </c>
      <c r="D256" s="115">
        <v>901830000</v>
      </c>
      <c r="E256" s="115">
        <v>111</v>
      </c>
      <c r="F256" s="115">
        <v>211</v>
      </c>
      <c r="G256" s="102" t="s">
        <v>523</v>
      </c>
      <c r="H256" s="118">
        <f>SUM(I256:J256)</f>
        <v>0</v>
      </c>
      <c r="I256" s="125"/>
      <c r="J256" s="125">
        <v>0</v>
      </c>
      <c r="K256" s="113"/>
      <c r="L256" s="113"/>
      <c r="M256" s="113"/>
      <c r="N256" s="113"/>
    </row>
    <row r="257" spans="1:14" s="8" customFormat="1" ht="16.5" customHeight="1">
      <c r="A257" s="143" t="s">
        <v>298</v>
      </c>
      <c r="B257" s="115"/>
      <c r="C257" s="115">
        <v>211</v>
      </c>
      <c r="D257" s="116" t="s">
        <v>521</v>
      </c>
      <c r="E257" s="115">
        <v>111</v>
      </c>
      <c r="F257" s="115">
        <v>211</v>
      </c>
      <c r="G257" s="102" t="s">
        <v>530</v>
      </c>
      <c r="H257" s="118">
        <f>SUM(I257:M257)</f>
        <v>2128645.86</v>
      </c>
      <c r="I257" s="125"/>
      <c r="J257" s="125"/>
      <c r="K257" s="113"/>
      <c r="L257" s="113"/>
      <c r="M257" s="113">
        <v>2128645.86</v>
      </c>
      <c r="N257" s="113"/>
    </row>
    <row r="258" spans="1:14" s="8" customFormat="1" ht="16.5" customHeight="1">
      <c r="A258" s="143" t="s">
        <v>299</v>
      </c>
      <c r="B258" s="115"/>
      <c r="C258" s="115">
        <v>211</v>
      </c>
      <c r="D258" s="115"/>
      <c r="E258" s="115">
        <v>111</v>
      </c>
      <c r="F258" s="115">
        <v>211</v>
      </c>
      <c r="G258" s="122"/>
      <c r="H258" s="118">
        <f>I258+J258+K258+L258+M258+N258</f>
        <v>0</v>
      </c>
      <c r="I258" s="125"/>
      <c r="J258" s="125"/>
      <c r="K258" s="113"/>
      <c r="L258" s="113"/>
      <c r="M258" s="113"/>
      <c r="N258" s="113"/>
    </row>
    <row r="259" spans="1:14" s="8" customFormat="1" ht="54" customHeight="1">
      <c r="A259" s="143" t="s">
        <v>300</v>
      </c>
      <c r="B259" s="115"/>
      <c r="C259" s="115"/>
      <c r="D259" s="115"/>
      <c r="E259" s="115"/>
      <c r="F259" s="115"/>
      <c r="G259" s="122"/>
      <c r="H259" s="118">
        <f>I259+J259+K259+L259+M259+N259</f>
        <v>0</v>
      </c>
      <c r="I259" s="125"/>
      <c r="J259" s="125">
        <v>0</v>
      </c>
      <c r="K259" s="113"/>
      <c r="L259" s="113"/>
      <c r="M259" s="113"/>
      <c r="N259" s="113"/>
    </row>
    <row r="260" spans="1:14" s="8" customFormat="1" ht="15.75" customHeight="1">
      <c r="A260" s="143" t="s">
        <v>301</v>
      </c>
      <c r="B260" s="115"/>
      <c r="C260" s="115">
        <v>213</v>
      </c>
      <c r="D260" s="115">
        <v>800000000</v>
      </c>
      <c r="E260" s="115">
        <v>119</v>
      </c>
      <c r="F260" s="115">
        <v>213</v>
      </c>
      <c r="G260" s="102" t="s">
        <v>523</v>
      </c>
      <c r="H260" s="118">
        <f>I260+J260+K260+L260+M260+N260</f>
        <v>5413006.97</v>
      </c>
      <c r="I260" s="125">
        <v>5413006.97</v>
      </c>
      <c r="J260" s="125"/>
      <c r="K260" s="113"/>
      <c r="L260" s="113"/>
      <c r="M260" s="113"/>
      <c r="N260" s="113"/>
    </row>
    <row r="261" spans="1:14" s="8" customFormat="1" ht="15.75" customHeight="1">
      <c r="A261" s="143" t="s">
        <v>301</v>
      </c>
      <c r="B261" s="115"/>
      <c r="C261" s="115">
        <v>213</v>
      </c>
      <c r="D261" s="115">
        <v>901480000</v>
      </c>
      <c r="E261" s="115">
        <v>119</v>
      </c>
      <c r="F261" s="115">
        <v>213</v>
      </c>
      <c r="G261" s="102" t="s">
        <v>523</v>
      </c>
      <c r="H261" s="118">
        <f>SUM(I261:J261)</f>
        <v>0</v>
      </c>
      <c r="I261" s="125"/>
      <c r="J261" s="125">
        <v>0</v>
      </c>
      <c r="K261" s="113"/>
      <c r="L261" s="113"/>
      <c r="M261" s="113"/>
      <c r="N261" s="113"/>
    </row>
    <row r="262" spans="1:14" s="8" customFormat="1" ht="15.75" customHeight="1">
      <c r="A262" s="143" t="s">
        <v>301</v>
      </c>
      <c r="B262" s="115"/>
      <c r="C262" s="115">
        <v>213</v>
      </c>
      <c r="D262" s="115">
        <v>901160000</v>
      </c>
      <c r="E262" s="115">
        <v>119</v>
      </c>
      <c r="F262" s="115">
        <v>213</v>
      </c>
      <c r="G262" s="102" t="s">
        <v>523</v>
      </c>
      <c r="H262" s="118">
        <f>SUM(I262:J262)</f>
        <v>0</v>
      </c>
      <c r="I262" s="125"/>
      <c r="J262" s="125">
        <v>0</v>
      </c>
      <c r="K262" s="113"/>
      <c r="L262" s="113"/>
      <c r="M262" s="113"/>
      <c r="N262" s="113"/>
    </row>
    <row r="263" spans="1:14" s="8" customFormat="1" ht="15.75" customHeight="1">
      <c r="A263" s="143" t="s">
        <v>301</v>
      </c>
      <c r="B263" s="115"/>
      <c r="C263" s="115">
        <v>213</v>
      </c>
      <c r="D263" s="115">
        <v>901830000</v>
      </c>
      <c r="E263" s="115">
        <v>119</v>
      </c>
      <c r="F263" s="115">
        <v>213</v>
      </c>
      <c r="G263" s="102" t="s">
        <v>523</v>
      </c>
      <c r="H263" s="118">
        <f>SUM(I263:J263)</f>
        <v>0</v>
      </c>
      <c r="I263" s="125"/>
      <c r="J263" s="125">
        <v>0</v>
      </c>
      <c r="K263" s="113"/>
      <c r="L263" s="113"/>
      <c r="M263" s="113"/>
      <c r="N263" s="113"/>
    </row>
    <row r="264" spans="1:14" s="8" customFormat="1" ht="15.75" customHeight="1">
      <c r="A264" s="143" t="s">
        <v>301</v>
      </c>
      <c r="B264" s="115"/>
      <c r="C264" s="115">
        <v>213</v>
      </c>
      <c r="D264" s="116" t="s">
        <v>521</v>
      </c>
      <c r="E264" s="115">
        <v>119</v>
      </c>
      <c r="F264" s="115">
        <v>213</v>
      </c>
      <c r="G264" s="102" t="s">
        <v>530</v>
      </c>
      <c r="H264" s="118">
        <f>SUM(I264:M264)</f>
        <v>642847.4</v>
      </c>
      <c r="I264" s="125"/>
      <c r="J264" s="125"/>
      <c r="K264" s="113"/>
      <c r="L264" s="113"/>
      <c r="M264" s="113">
        <v>642847.4</v>
      </c>
      <c r="N264" s="113"/>
    </row>
    <row r="265" spans="1:14" s="8" customFormat="1" ht="24.75" customHeight="1">
      <c r="A265" s="143" t="s">
        <v>399</v>
      </c>
      <c r="B265" s="115">
        <v>220</v>
      </c>
      <c r="C265" s="115"/>
      <c r="D265" s="115"/>
      <c r="E265" s="115"/>
      <c r="F265" s="115"/>
      <c r="G265" s="115"/>
      <c r="H265" s="120">
        <f>SUM(I265:M265)</f>
        <v>0</v>
      </c>
      <c r="I265" s="113">
        <f>I267+I268+I269+I270+I271</f>
        <v>0</v>
      </c>
      <c r="J265" s="113">
        <f>SUM(J267:J269)</f>
        <v>0</v>
      </c>
      <c r="K265" s="113">
        <f>K267+K268+K269+K270+K271</f>
        <v>0</v>
      </c>
      <c r="L265" s="113">
        <f>L267+L268+L269+L270+L271</f>
        <v>0</v>
      </c>
      <c r="M265" s="113">
        <f>M267+M268+M269+M270+M271</f>
        <v>0</v>
      </c>
      <c r="N265" s="113">
        <f>N267+N268+N269+N270+N271</f>
        <v>0</v>
      </c>
    </row>
    <row r="266" spans="1:14" s="8" customFormat="1" ht="15.75" customHeight="1">
      <c r="A266" s="143" t="s">
        <v>3</v>
      </c>
      <c r="B266" s="115"/>
      <c r="C266" s="115"/>
      <c r="D266" s="115"/>
      <c r="E266" s="115"/>
      <c r="F266" s="115"/>
      <c r="G266" s="122"/>
      <c r="H266" s="118"/>
      <c r="I266" s="125"/>
      <c r="J266" s="125"/>
      <c r="K266" s="113"/>
      <c r="L266" s="113"/>
      <c r="M266" s="113"/>
      <c r="N266" s="113"/>
    </row>
    <row r="267" spans="1:14" s="8" customFormat="1" ht="39" customHeight="1">
      <c r="A267" s="144" t="s">
        <v>302</v>
      </c>
      <c r="B267" s="145"/>
      <c r="C267" s="146">
        <v>263</v>
      </c>
      <c r="D267" s="115">
        <v>901140000</v>
      </c>
      <c r="E267" s="115">
        <v>323</v>
      </c>
      <c r="F267" s="146">
        <v>263</v>
      </c>
      <c r="G267" s="147" t="s">
        <v>523</v>
      </c>
      <c r="H267" s="118">
        <f>I267+J267+K267+L267+M267+N267</f>
        <v>0</v>
      </c>
      <c r="I267" s="125"/>
      <c r="J267" s="125">
        <v>0</v>
      </c>
      <c r="K267" s="113"/>
      <c r="L267" s="113"/>
      <c r="M267" s="113"/>
      <c r="N267" s="113"/>
    </row>
    <row r="268" spans="1:14" s="8" customFormat="1" ht="33.75" customHeight="1">
      <c r="A268" s="137" t="s">
        <v>39</v>
      </c>
      <c r="B268" s="115"/>
      <c r="C268" s="115">
        <v>262</v>
      </c>
      <c r="D268" s="115">
        <v>901140000</v>
      </c>
      <c r="E268" s="115">
        <v>321</v>
      </c>
      <c r="F268" s="115">
        <v>262</v>
      </c>
      <c r="G268" s="147" t="s">
        <v>523</v>
      </c>
      <c r="H268" s="118">
        <f>I268+J268+K268+L268+M268+N268</f>
        <v>0</v>
      </c>
      <c r="I268" s="125"/>
      <c r="J268" s="125">
        <v>0</v>
      </c>
      <c r="K268" s="113"/>
      <c r="L268" s="113"/>
      <c r="M268" s="113"/>
      <c r="N268" s="113"/>
    </row>
    <row r="269" spans="1:14" s="8" customFormat="1" ht="15.75" customHeight="1">
      <c r="A269" s="137" t="s">
        <v>303</v>
      </c>
      <c r="B269" s="115"/>
      <c r="C269" s="115"/>
      <c r="D269" s="115"/>
      <c r="E269" s="115"/>
      <c r="F269" s="115"/>
      <c r="G269" s="122"/>
      <c r="H269" s="118">
        <f>I269+J269+K269+L269+M269+N269</f>
        <v>0</v>
      </c>
      <c r="I269" s="125"/>
      <c r="J269" s="125"/>
      <c r="K269" s="113"/>
      <c r="L269" s="113"/>
      <c r="M269" s="113"/>
      <c r="N269" s="113"/>
    </row>
    <row r="270" spans="1:14" s="8" customFormat="1" ht="15.75" customHeight="1">
      <c r="A270" s="137" t="s">
        <v>304</v>
      </c>
      <c r="B270" s="115"/>
      <c r="C270" s="115">
        <v>290</v>
      </c>
      <c r="D270" s="115"/>
      <c r="E270" s="115">
        <v>350</v>
      </c>
      <c r="F270" s="115">
        <v>290</v>
      </c>
      <c r="G270" s="122"/>
      <c r="H270" s="118">
        <f>I270+J270+K270+L270+M270+N270</f>
        <v>0</v>
      </c>
      <c r="I270" s="125"/>
      <c r="J270" s="125"/>
      <c r="K270" s="113"/>
      <c r="L270" s="113"/>
      <c r="M270" s="113"/>
      <c r="N270" s="113"/>
    </row>
    <row r="271" spans="1:14" s="8" customFormat="1" ht="15.75" customHeight="1">
      <c r="A271" s="137" t="s">
        <v>305</v>
      </c>
      <c r="B271" s="115"/>
      <c r="C271" s="115"/>
      <c r="D271" s="115"/>
      <c r="E271" s="115"/>
      <c r="F271" s="115"/>
      <c r="G271" s="122"/>
      <c r="H271" s="118">
        <f>I271+J271+K271+L271+M271+N271</f>
        <v>0</v>
      </c>
      <c r="I271" s="125"/>
      <c r="J271" s="125"/>
      <c r="K271" s="113"/>
      <c r="L271" s="113"/>
      <c r="M271" s="113"/>
      <c r="N271" s="113"/>
    </row>
    <row r="272" spans="1:14" s="8" customFormat="1" ht="24.75" customHeight="1">
      <c r="A272" s="137" t="s">
        <v>306</v>
      </c>
      <c r="B272" s="115">
        <v>230</v>
      </c>
      <c r="C272" s="115"/>
      <c r="D272" s="115"/>
      <c r="E272" s="115"/>
      <c r="F272" s="115"/>
      <c r="G272" s="122"/>
      <c r="H272" s="118">
        <f aca="true" t="shared" si="21" ref="H272:N272">H273+H276</f>
        <v>3252431</v>
      </c>
      <c r="I272" s="125">
        <f t="shared" si="21"/>
        <v>2959713</v>
      </c>
      <c r="J272" s="125">
        <f t="shared" si="21"/>
        <v>0</v>
      </c>
      <c r="K272" s="125">
        <f t="shared" si="21"/>
        <v>0</v>
      </c>
      <c r="L272" s="125">
        <f t="shared" si="21"/>
        <v>0</v>
      </c>
      <c r="M272" s="125">
        <f t="shared" si="21"/>
        <v>292718</v>
      </c>
      <c r="N272" s="125">
        <f t="shared" si="21"/>
        <v>0</v>
      </c>
    </row>
    <row r="273" spans="1:14" s="8" customFormat="1" ht="15.75" customHeight="1">
      <c r="A273" s="143" t="s">
        <v>3</v>
      </c>
      <c r="B273" s="115"/>
      <c r="C273" s="115"/>
      <c r="D273" s="115"/>
      <c r="E273" s="115"/>
      <c r="F273" s="115"/>
      <c r="G273" s="122"/>
      <c r="H273" s="118">
        <f aca="true" t="shared" si="22" ref="H273:N273">H274+H275</f>
        <v>3252431</v>
      </c>
      <c r="I273" s="125">
        <f t="shared" si="22"/>
        <v>2959713</v>
      </c>
      <c r="J273" s="125">
        <f t="shared" si="22"/>
        <v>0</v>
      </c>
      <c r="K273" s="125">
        <f t="shared" si="22"/>
        <v>0</v>
      </c>
      <c r="L273" s="125">
        <f t="shared" si="22"/>
        <v>0</v>
      </c>
      <c r="M273" s="125">
        <f t="shared" si="22"/>
        <v>292718</v>
      </c>
      <c r="N273" s="125">
        <f t="shared" si="22"/>
        <v>0</v>
      </c>
    </row>
    <row r="274" spans="1:14" s="8" customFormat="1" ht="15.75" customHeight="1">
      <c r="A274" s="143" t="s">
        <v>307</v>
      </c>
      <c r="B274" s="115"/>
      <c r="C274" s="115">
        <v>290</v>
      </c>
      <c r="D274" s="115"/>
      <c r="E274" s="115">
        <v>831</v>
      </c>
      <c r="F274" s="115">
        <v>290</v>
      </c>
      <c r="G274" s="122"/>
      <c r="H274" s="118">
        <f>I274+J274+K274+L274+M274+N274</f>
        <v>0</v>
      </c>
      <c r="I274" s="125"/>
      <c r="J274" s="125"/>
      <c r="K274" s="113"/>
      <c r="L274" s="113"/>
      <c r="M274" s="113"/>
      <c r="N274" s="113"/>
    </row>
    <row r="275" spans="1:14" s="8" customFormat="1" ht="15.75" customHeight="1">
      <c r="A275" s="143" t="s">
        <v>308</v>
      </c>
      <c r="B275" s="115"/>
      <c r="C275" s="115">
        <v>290</v>
      </c>
      <c r="D275" s="115"/>
      <c r="E275" s="115">
        <v>850</v>
      </c>
      <c r="F275" s="115">
        <v>290</v>
      </c>
      <c r="G275" s="122"/>
      <c r="H275" s="118">
        <f>I275+J275+K275+L275+M275+N275</f>
        <v>3252431</v>
      </c>
      <c r="I275" s="125">
        <f aca="true" t="shared" si="23" ref="I275:N275">SUM(I277:I285)</f>
        <v>2959713</v>
      </c>
      <c r="J275" s="125">
        <f t="shared" si="23"/>
        <v>0</v>
      </c>
      <c r="K275" s="125">
        <f t="shared" si="23"/>
        <v>0</v>
      </c>
      <c r="L275" s="125">
        <f t="shared" si="23"/>
        <v>0</v>
      </c>
      <c r="M275" s="125">
        <f t="shared" si="23"/>
        <v>292718</v>
      </c>
      <c r="N275" s="125">
        <f t="shared" si="23"/>
        <v>0</v>
      </c>
    </row>
    <row r="276" spans="1:14" s="8" customFormat="1" ht="15.75" customHeight="1">
      <c r="A276" s="143" t="s">
        <v>4</v>
      </c>
      <c r="B276" s="115"/>
      <c r="C276" s="115"/>
      <c r="D276" s="115"/>
      <c r="E276" s="115"/>
      <c r="F276" s="115"/>
      <c r="G276" s="122"/>
      <c r="H276" s="118"/>
      <c r="I276" s="125"/>
      <c r="J276" s="125"/>
      <c r="K276" s="125"/>
      <c r="L276" s="125"/>
      <c r="M276" s="125"/>
      <c r="N276" s="125"/>
    </row>
    <row r="277" spans="1:14" s="8" customFormat="1" ht="26.25" customHeight="1">
      <c r="A277" s="143" t="s">
        <v>309</v>
      </c>
      <c r="B277" s="115"/>
      <c r="C277" s="115">
        <v>291</v>
      </c>
      <c r="D277" s="115">
        <v>800000000</v>
      </c>
      <c r="E277" s="115">
        <v>851</v>
      </c>
      <c r="F277" s="115">
        <v>291</v>
      </c>
      <c r="G277" s="102" t="s">
        <v>532</v>
      </c>
      <c r="H277" s="118">
        <f>I277+J277+K277+L277+M277+N277</f>
        <v>2959713</v>
      </c>
      <c r="I277" s="125">
        <v>2959713</v>
      </c>
      <c r="J277" s="125"/>
      <c r="K277" s="113"/>
      <c r="L277" s="113"/>
      <c r="M277" s="113">
        <v>0</v>
      </c>
      <c r="N277" s="113"/>
    </row>
    <row r="278" spans="1:14" s="8" customFormat="1" ht="26.25" customHeight="1">
      <c r="A278" s="143" t="s">
        <v>309</v>
      </c>
      <c r="B278" s="115"/>
      <c r="C278" s="115">
        <v>291</v>
      </c>
      <c r="D278" s="116" t="s">
        <v>521</v>
      </c>
      <c r="E278" s="115">
        <v>851</v>
      </c>
      <c r="F278" s="115">
        <v>291</v>
      </c>
      <c r="G278" s="102" t="s">
        <v>533</v>
      </c>
      <c r="H278" s="118">
        <f>I278+J278+K278+L278+M278+N278</f>
        <v>292718</v>
      </c>
      <c r="I278" s="125">
        <v>0</v>
      </c>
      <c r="J278" s="125"/>
      <c r="K278" s="113"/>
      <c r="L278" s="113"/>
      <c r="M278" s="113">
        <v>292718</v>
      </c>
      <c r="N278" s="113"/>
    </row>
    <row r="279" spans="1:15" s="8" customFormat="1" ht="15" customHeight="1">
      <c r="A279" s="143" t="s">
        <v>357</v>
      </c>
      <c r="B279" s="115"/>
      <c r="C279" s="115">
        <v>291</v>
      </c>
      <c r="D279" s="115"/>
      <c r="E279" s="115">
        <v>852</v>
      </c>
      <c r="F279" s="115">
        <v>291</v>
      </c>
      <c r="G279" s="122"/>
      <c r="H279" s="118">
        <f aca="true" t="shared" si="24" ref="H279:H286">I279+J279+K279+L279+M279+N279</f>
        <v>0</v>
      </c>
      <c r="I279" s="125"/>
      <c r="J279" s="125"/>
      <c r="K279" s="113"/>
      <c r="L279" s="113"/>
      <c r="M279" s="113"/>
      <c r="N279" s="113"/>
      <c r="O279" s="8" t="s">
        <v>378</v>
      </c>
    </row>
    <row r="280" spans="1:15" s="8" customFormat="1" ht="15" customHeight="1">
      <c r="A280" s="143" t="s">
        <v>310</v>
      </c>
      <c r="B280" s="115"/>
      <c r="C280" s="115">
        <v>291</v>
      </c>
      <c r="D280" s="115"/>
      <c r="E280" s="115">
        <v>853</v>
      </c>
      <c r="F280" s="115">
        <v>291</v>
      </c>
      <c r="G280" s="122"/>
      <c r="H280" s="118">
        <f t="shared" si="24"/>
        <v>0</v>
      </c>
      <c r="I280" s="125"/>
      <c r="J280" s="125"/>
      <c r="K280" s="113"/>
      <c r="L280" s="113"/>
      <c r="M280" s="113"/>
      <c r="N280" s="113"/>
      <c r="O280" s="8" t="s">
        <v>379</v>
      </c>
    </row>
    <row r="281" spans="1:14" s="8" customFormat="1" ht="34.5" customHeight="1">
      <c r="A281" s="143" t="s">
        <v>358</v>
      </c>
      <c r="B281" s="115"/>
      <c r="C281" s="115">
        <v>292</v>
      </c>
      <c r="D281" s="115"/>
      <c r="E281" s="115">
        <v>853</v>
      </c>
      <c r="F281" s="115">
        <v>292</v>
      </c>
      <c r="G281" s="122"/>
      <c r="H281" s="118">
        <f t="shared" si="24"/>
        <v>0</v>
      </c>
      <c r="I281" s="125"/>
      <c r="J281" s="125"/>
      <c r="K281" s="113"/>
      <c r="L281" s="113"/>
      <c r="M281" s="113"/>
      <c r="N281" s="113"/>
    </row>
    <row r="282" spans="1:14" s="8" customFormat="1" ht="26.25" customHeight="1">
      <c r="A282" s="143" t="s">
        <v>359</v>
      </c>
      <c r="B282" s="115"/>
      <c r="C282" s="115">
        <v>293</v>
      </c>
      <c r="D282" s="115"/>
      <c r="E282" s="115">
        <v>853</v>
      </c>
      <c r="F282" s="115">
        <v>293</v>
      </c>
      <c r="G282" s="122"/>
      <c r="H282" s="118">
        <f t="shared" si="24"/>
        <v>0</v>
      </c>
      <c r="I282" s="125"/>
      <c r="J282" s="125"/>
      <c r="K282" s="113"/>
      <c r="L282" s="113"/>
      <c r="M282" s="113"/>
      <c r="N282" s="113"/>
    </row>
    <row r="283" spans="1:14" s="8" customFormat="1" ht="26.25" customHeight="1">
      <c r="A283" s="143" t="s">
        <v>360</v>
      </c>
      <c r="B283" s="115"/>
      <c r="C283" s="115">
        <v>294</v>
      </c>
      <c r="D283" s="115"/>
      <c r="E283" s="115">
        <v>853</v>
      </c>
      <c r="F283" s="115">
        <v>294</v>
      </c>
      <c r="G283" s="122"/>
      <c r="H283" s="118">
        <f t="shared" si="24"/>
        <v>0</v>
      </c>
      <c r="I283" s="125"/>
      <c r="J283" s="125"/>
      <c r="K283" s="113"/>
      <c r="L283" s="113"/>
      <c r="M283" s="113"/>
      <c r="N283" s="113"/>
    </row>
    <row r="284" spans="1:14" s="8" customFormat="1" ht="18" customHeight="1">
      <c r="A284" s="143" t="s">
        <v>361</v>
      </c>
      <c r="B284" s="115"/>
      <c r="C284" s="115">
        <v>295</v>
      </c>
      <c r="D284" s="115"/>
      <c r="E284" s="115">
        <v>853</v>
      </c>
      <c r="F284" s="115">
        <v>295</v>
      </c>
      <c r="G284" s="122"/>
      <c r="H284" s="118">
        <f t="shared" si="24"/>
        <v>0</v>
      </c>
      <c r="I284" s="125"/>
      <c r="J284" s="125"/>
      <c r="K284" s="113"/>
      <c r="L284" s="113"/>
      <c r="M284" s="113"/>
      <c r="N284" s="113"/>
    </row>
    <row r="285" spans="1:14" s="8" customFormat="1" ht="18" customHeight="1">
      <c r="A285" s="143" t="s">
        <v>362</v>
      </c>
      <c r="B285" s="115"/>
      <c r="C285" s="115">
        <v>296</v>
      </c>
      <c r="D285" s="115"/>
      <c r="E285" s="115">
        <v>853</v>
      </c>
      <c r="F285" s="115">
        <v>296</v>
      </c>
      <c r="G285" s="122"/>
      <c r="H285" s="118">
        <f t="shared" si="24"/>
        <v>0</v>
      </c>
      <c r="I285" s="125"/>
      <c r="J285" s="125"/>
      <c r="K285" s="113"/>
      <c r="L285" s="113"/>
      <c r="M285" s="113"/>
      <c r="N285" s="113"/>
    </row>
    <row r="286" spans="1:14" s="8" customFormat="1" ht="18" customHeight="1">
      <c r="A286" s="143" t="s">
        <v>311</v>
      </c>
      <c r="B286" s="115">
        <v>240</v>
      </c>
      <c r="C286" s="115"/>
      <c r="D286" s="115"/>
      <c r="E286" s="115"/>
      <c r="F286" s="115"/>
      <c r="G286" s="122"/>
      <c r="H286" s="118">
        <f t="shared" si="24"/>
        <v>0</v>
      </c>
      <c r="I286" s="125"/>
      <c r="J286" s="125"/>
      <c r="K286" s="113"/>
      <c r="L286" s="113"/>
      <c r="M286" s="113"/>
      <c r="N286" s="113"/>
    </row>
    <row r="287" spans="1:14" s="8" customFormat="1" ht="28.5" customHeight="1">
      <c r="A287" s="137" t="s">
        <v>312</v>
      </c>
      <c r="B287" s="115">
        <v>250</v>
      </c>
      <c r="C287" s="115"/>
      <c r="D287" s="115"/>
      <c r="E287" s="115"/>
      <c r="F287" s="115"/>
      <c r="G287" s="122"/>
      <c r="H287" s="118">
        <f>H289+H290</f>
        <v>0</v>
      </c>
      <c r="I287" s="125">
        <f aca="true" t="shared" si="25" ref="I287:N287">I289+I290</f>
        <v>0</v>
      </c>
      <c r="J287" s="125">
        <f t="shared" si="25"/>
        <v>0</v>
      </c>
      <c r="K287" s="125">
        <f t="shared" si="25"/>
        <v>0</v>
      </c>
      <c r="L287" s="125">
        <f t="shared" si="25"/>
        <v>0</v>
      </c>
      <c r="M287" s="125">
        <f t="shared" si="25"/>
        <v>0</v>
      </c>
      <c r="N287" s="125">
        <f t="shared" si="25"/>
        <v>0</v>
      </c>
    </row>
    <row r="288" spans="1:14" s="8" customFormat="1" ht="14.25" customHeight="1">
      <c r="A288" s="143" t="s">
        <v>4</v>
      </c>
      <c r="B288" s="115"/>
      <c r="C288" s="115"/>
      <c r="D288" s="115"/>
      <c r="E288" s="115"/>
      <c r="F288" s="115"/>
      <c r="G288" s="122"/>
      <c r="H288" s="118"/>
      <c r="I288" s="125"/>
      <c r="J288" s="125"/>
      <c r="K288" s="113"/>
      <c r="L288" s="113"/>
      <c r="M288" s="113"/>
      <c r="N288" s="113"/>
    </row>
    <row r="289" spans="1:14" s="8" customFormat="1" ht="29.25" customHeight="1">
      <c r="A289" s="137" t="s">
        <v>313</v>
      </c>
      <c r="B289" s="115"/>
      <c r="C289" s="115"/>
      <c r="D289" s="115"/>
      <c r="E289" s="115"/>
      <c r="F289" s="115"/>
      <c r="G289" s="122"/>
      <c r="H289" s="118">
        <f>I289+J289+K289+L289+M289+N289</f>
        <v>0</v>
      </c>
      <c r="I289" s="125"/>
      <c r="J289" s="125"/>
      <c r="K289" s="113"/>
      <c r="L289" s="113"/>
      <c r="M289" s="113"/>
      <c r="N289" s="113"/>
    </row>
    <row r="290" spans="1:14" s="8" customFormat="1" ht="34.5" customHeight="1">
      <c r="A290" s="143" t="s">
        <v>314</v>
      </c>
      <c r="B290" s="115"/>
      <c r="C290" s="115"/>
      <c r="D290" s="115"/>
      <c r="E290" s="115"/>
      <c r="F290" s="115"/>
      <c r="G290" s="122"/>
      <c r="H290" s="118">
        <f>I290+J290+K290+L290+M290+N290</f>
        <v>0</v>
      </c>
      <c r="I290" s="125"/>
      <c r="J290" s="125"/>
      <c r="K290" s="125"/>
      <c r="L290" s="125"/>
      <c r="M290" s="125"/>
      <c r="N290" s="113"/>
    </row>
    <row r="291" spans="1:14" s="8" customFormat="1" ht="27" customHeight="1">
      <c r="A291" s="143" t="s">
        <v>315</v>
      </c>
      <c r="B291" s="115">
        <v>260</v>
      </c>
      <c r="C291" s="115"/>
      <c r="D291" s="115"/>
      <c r="E291" s="115"/>
      <c r="F291" s="115"/>
      <c r="G291" s="122"/>
      <c r="H291" s="118">
        <f>I291+J291+M291</f>
        <v>9204226.74</v>
      </c>
      <c r="I291" s="125">
        <f>I293+I294+I297+I307+I308+I310+I311+I314+I321</f>
        <v>5492911.640000001</v>
      </c>
      <c r="J291" s="125">
        <f>J293+J296+J297+J306+J307+J310+J313+J314+J320+J321+J328</f>
        <v>0</v>
      </c>
      <c r="K291" s="125">
        <f>K293+K296+K297+K306+K307+K310+K313+K314+K320+K321+K328</f>
        <v>0</v>
      </c>
      <c r="L291" s="125">
        <f>L293+L296+L297+L306+L307+L310+L313+L314+L320+L321+L328</f>
        <v>0</v>
      </c>
      <c r="M291" s="125">
        <f>M293+M296+M297+M306+M307+M310+M313+M314+M320+M321+M328+M295+M309+M327+M312</f>
        <v>3711315.0999999996</v>
      </c>
      <c r="N291" s="125">
        <f>N293+N296+N297+N306+N307+N310+N313+N314+N320+N321+N328</f>
        <v>0</v>
      </c>
    </row>
    <row r="292" spans="1:14" s="41" customFormat="1" ht="15.75" customHeight="1">
      <c r="A292" s="143" t="s">
        <v>4</v>
      </c>
      <c r="B292" s="149"/>
      <c r="C292" s="115"/>
      <c r="D292" s="149"/>
      <c r="E292" s="149"/>
      <c r="F292" s="115"/>
      <c r="G292" s="122"/>
      <c r="H292" s="118"/>
      <c r="I292" s="118"/>
      <c r="J292" s="118"/>
      <c r="K292" s="118"/>
      <c r="L292" s="118"/>
      <c r="M292" s="118"/>
      <c r="N292" s="118"/>
    </row>
    <row r="293" spans="1:14" s="8" customFormat="1" ht="16.5" customHeight="1">
      <c r="A293" s="143" t="s">
        <v>316</v>
      </c>
      <c r="B293" s="115"/>
      <c r="C293" s="115">
        <v>221</v>
      </c>
      <c r="D293" s="115">
        <v>800000000</v>
      </c>
      <c r="E293" s="115">
        <v>244</v>
      </c>
      <c r="F293" s="115">
        <v>221</v>
      </c>
      <c r="G293" s="102" t="s">
        <v>531</v>
      </c>
      <c r="H293" s="118">
        <f>I293+J293+M293</f>
        <v>72000</v>
      </c>
      <c r="I293" s="125">
        <v>72000</v>
      </c>
      <c r="J293" s="125"/>
      <c r="K293" s="113"/>
      <c r="L293" s="113"/>
      <c r="M293" s="113"/>
      <c r="N293" s="113"/>
    </row>
    <row r="294" spans="1:14" s="8" customFormat="1" ht="16.5" customHeight="1">
      <c r="A294" s="143" t="s">
        <v>316</v>
      </c>
      <c r="B294" s="115"/>
      <c r="C294" s="115">
        <v>221</v>
      </c>
      <c r="D294" s="115">
        <v>800000000</v>
      </c>
      <c r="E294" s="115">
        <v>244</v>
      </c>
      <c r="F294" s="115">
        <v>221</v>
      </c>
      <c r="G294" s="102" t="s">
        <v>532</v>
      </c>
      <c r="H294" s="118">
        <f>I294+J294+M294</f>
        <v>32000.1</v>
      </c>
      <c r="I294" s="125">
        <v>32000.1</v>
      </c>
      <c r="J294" s="125"/>
      <c r="K294" s="113"/>
      <c r="L294" s="113"/>
      <c r="M294" s="113"/>
      <c r="N294" s="113"/>
    </row>
    <row r="295" spans="1:14" s="8" customFormat="1" ht="16.5" customHeight="1">
      <c r="A295" s="143" t="s">
        <v>316</v>
      </c>
      <c r="B295" s="115"/>
      <c r="C295" s="115">
        <v>221</v>
      </c>
      <c r="D295" s="116" t="s">
        <v>521</v>
      </c>
      <c r="E295" s="115">
        <v>244</v>
      </c>
      <c r="F295" s="115">
        <v>221</v>
      </c>
      <c r="G295" s="102" t="s">
        <v>533</v>
      </c>
      <c r="H295" s="118">
        <f>I295+J295+M295</f>
        <v>2909.1</v>
      </c>
      <c r="I295" s="125">
        <v>0</v>
      </c>
      <c r="J295" s="125"/>
      <c r="K295" s="113"/>
      <c r="L295" s="113"/>
      <c r="M295" s="113">
        <v>2909.1</v>
      </c>
      <c r="N295" s="113"/>
    </row>
    <row r="296" spans="1:14" s="8" customFormat="1" ht="15.75" customHeight="1">
      <c r="A296" s="143" t="s">
        <v>317</v>
      </c>
      <c r="B296" s="115"/>
      <c r="C296" s="115">
        <v>222</v>
      </c>
      <c r="D296" s="115"/>
      <c r="E296" s="115"/>
      <c r="F296" s="115">
        <v>222</v>
      </c>
      <c r="G296" s="122"/>
      <c r="H296" s="118">
        <f>I296+J296+K296+L296+M296+N296</f>
        <v>0</v>
      </c>
      <c r="I296" s="125"/>
      <c r="J296" s="125"/>
      <c r="K296" s="113"/>
      <c r="L296" s="113"/>
      <c r="M296" s="113"/>
      <c r="N296" s="113"/>
    </row>
    <row r="297" spans="1:14" s="8" customFormat="1" ht="14.25" customHeight="1">
      <c r="A297" s="143" t="s">
        <v>318</v>
      </c>
      <c r="B297" s="115"/>
      <c r="C297" s="115">
        <v>223</v>
      </c>
      <c r="D297" s="115"/>
      <c r="E297" s="115"/>
      <c r="F297" s="115">
        <v>223</v>
      </c>
      <c r="G297" s="122"/>
      <c r="H297" s="118">
        <f>I297+J297+M297</f>
        <v>2037560.0399999998</v>
      </c>
      <c r="I297" s="125">
        <f>I299+I300+I301+I302</f>
        <v>1842358.5699999998</v>
      </c>
      <c r="J297" s="125">
        <f>J299+J300+J301+J302</f>
        <v>0</v>
      </c>
      <c r="K297" s="125">
        <f>K299+K300+K301+K302</f>
        <v>0</v>
      </c>
      <c r="L297" s="125">
        <f>L299+L300+L301+L302</f>
        <v>0</v>
      </c>
      <c r="M297" s="125">
        <f>SUM(M299:M305)</f>
        <v>195201.47</v>
      </c>
      <c r="N297" s="125">
        <f>N299+N300+N301+N302</f>
        <v>0</v>
      </c>
    </row>
    <row r="298" spans="1:14" s="8" customFormat="1" ht="12.75">
      <c r="A298" s="143" t="s">
        <v>4</v>
      </c>
      <c r="B298" s="115"/>
      <c r="C298" s="115"/>
      <c r="D298" s="115"/>
      <c r="E298" s="115"/>
      <c r="F298" s="115"/>
      <c r="G298" s="122"/>
      <c r="H298" s="118"/>
      <c r="I298" s="125"/>
      <c r="J298" s="125"/>
      <c r="K298" s="113"/>
      <c r="L298" s="113"/>
      <c r="M298" s="113"/>
      <c r="N298" s="113"/>
    </row>
    <row r="299" spans="1:14" s="8" customFormat="1" ht="15" customHeight="1">
      <c r="A299" s="143" t="s">
        <v>319</v>
      </c>
      <c r="B299" s="115"/>
      <c r="C299" s="115"/>
      <c r="D299" s="115">
        <v>800000000</v>
      </c>
      <c r="E299" s="115"/>
      <c r="F299" s="115"/>
      <c r="G299" s="102" t="s">
        <v>532</v>
      </c>
      <c r="H299" s="118">
        <f aca="true" t="shared" si="26" ref="H299:H314">I299+J299+K299+L299+M299+N299</f>
        <v>1246845.97</v>
      </c>
      <c r="I299" s="125">
        <v>1246845.97</v>
      </c>
      <c r="J299" s="125"/>
      <c r="K299" s="113"/>
      <c r="L299" s="113"/>
      <c r="M299" s="113">
        <v>0</v>
      </c>
      <c r="N299" s="113"/>
    </row>
    <row r="300" spans="1:14" s="8" customFormat="1" ht="15" customHeight="1">
      <c r="A300" s="143" t="s">
        <v>320</v>
      </c>
      <c r="B300" s="115"/>
      <c r="C300" s="115"/>
      <c r="D300" s="115">
        <v>800000000</v>
      </c>
      <c r="E300" s="115"/>
      <c r="F300" s="115"/>
      <c r="G300" s="102" t="s">
        <v>532</v>
      </c>
      <c r="H300" s="118">
        <f t="shared" si="26"/>
        <v>0</v>
      </c>
      <c r="I300" s="125">
        <v>0</v>
      </c>
      <c r="J300" s="125"/>
      <c r="K300" s="113"/>
      <c r="L300" s="113"/>
      <c r="M300" s="113"/>
      <c r="N300" s="113"/>
    </row>
    <row r="301" spans="1:14" s="8" customFormat="1" ht="15" customHeight="1">
      <c r="A301" s="143" t="s">
        <v>321</v>
      </c>
      <c r="B301" s="115"/>
      <c r="C301" s="115"/>
      <c r="D301" s="115">
        <v>800000000</v>
      </c>
      <c r="E301" s="115"/>
      <c r="F301" s="115"/>
      <c r="G301" s="102" t="s">
        <v>532</v>
      </c>
      <c r="H301" s="118">
        <f t="shared" si="26"/>
        <v>470359.68</v>
      </c>
      <c r="I301" s="125">
        <v>470359.68</v>
      </c>
      <c r="J301" s="125"/>
      <c r="K301" s="113"/>
      <c r="L301" s="113"/>
      <c r="M301" s="113"/>
      <c r="N301" s="113"/>
    </row>
    <row r="302" spans="1:14" s="8" customFormat="1" ht="15" customHeight="1">
      <c r="A302" s="143" t="s">
        <v>322</v>
      </c>
      <c r="B302" s="115"/>
      <c r="C302" s="115"/>
      <c r="D302" s="115">
        <v>800000000</v>
      </c>
      <c r="E302" s="115"/>
      <c r="F302" s="115"/>
      <c r="G302" s="102" t="s">
        <v>532</v>
      </c>
      <c r="H302" s="118">
        <f t="shared" si="26"/>
        <v>125152.92</v>
      </c>
      <c r="I302" s="125">
        <v>125152.92</v>
      </c>
      <c r="J302" s="125"/>
      <c r="K302" s="113"/>
      <c r="L302" s="113"/>
      <c r="M302" s="113"/>
      <c r="N302" s="113"/>
    </row>
    <row r="303" spans="1:14" s="8" customFormat="1" ht="15" customHeight="1">
      <c r="A303" s="143" t="s">
        <v>319</v>
      </c>
      <c r="B303" s="115"/>
      <c r="C303" s="115"/>
      <c r="D303" s="116" t="s">
        <v>521</v>
      </c>
      <c r="E303" s="115"/>
      <c r="F303" s="115"/>
      <c r="G303" s="102" t="s">
        <v>533</v>
      </c>
      <c r="H303" s="118">
        <f t="shared" si="26"/>
        <v>9301.35</v>
      </c>
      <c r="I303" s="125">
        <v>0</v>
      </c>
      <c r="J303" s="125"/>
      <c r="K303" s="113"/>
      <c r="L303" s="113"/>
      <c r="M303" s="113">
        <v>9301.35</v>
      </c>
      <c r="N303" s="113"/>
    </row>
    <row r="304" spans="1:14" s="8" customFormat="1" ht="15" customHeight="1">
      <c r="A304" s="143" t="s">
        <v>321</v>
      </c>
      <c r="B304" s="115"/>
      <c r="C304" s="115"/>
      <c r="D304" s="116" t="s">
        <v>521</v>
      </c>
      <c r="E304" s="115"/>
      <c r="F304" s="115"/>
      <c r="G304" s="102" t="s">
        <v>533</v>
      </c>
      <c r="H304" s="118">
        <f t="shared" si="26"/>
        <v>143362.88</v>
      </c>
      <c r="I304" s="125">
        <v>0</v>
      </c>
      <c r="J304" s="125"/>
      <c r="K304" s="113"/>
      <c r="L304" s="113"/>
      <c r="M304" s="113">
        <v>143362.88</v>
      </c>
      <c r="N304" s="113"/>
    </row>
    <row r="305" spans="1:14" s="8" customFormat="1" ht="15" customHeight="1">
      <c r="A305" s="143" t="s">
        <v>322</v>
      </c>
      <c r="B305" s="115"/>
      <c r="C305" s="115"/>
      <c r="D305" s="116" t="s">
        <v>521</v>
      </c>
      <c r="E305" s="115"/>
      <c r="F305" s="115"/>
      <c r="G305" s="102" t="s">
        <v>533</v>
      </c>
      <c r="H305" s="118">
        <f t="shared" si="26"/>
        <v>42537.24</v>
      </c>
      <c r="I305" s="125">
        <v>0</v>
      </c>
      <c r="J305" s="125"/>
      <c r="K305" s="113"/>
      <c r="L305" s="113"/>
      <c r="M305" s="113">
        <v>42537.24</v>
      </c>
      <c r="N305" s="113"/>
    </row>
    <row r="306" spans="1:14" s="8" customFormat="1" ht="15" customHeight="1">
      <c r="A306" s="143" t="s">
        <v>323</v>
      </c>
      <c r="B306" s="115"/>
      <c r="C306" s="115">
        <v>224</v>
      </c>
      <c r="D306" s="115"/>
      <c r="E306" s="115"/>
      <c r="F306" s="115">
        <v>224</v>
      </c>
      <c r="G306" s="122"/>
      <c r="H306" s="118">
        <f t="shared" si="26"/>
        <v>0</v>
      </c>
      <c r="I306" s="125">
        <v>0</v>
      </c>
      <c r="J306" s="125"/>
      <c r="K306" s="113"/>
      <c r="L306" s="113"/>
      <c r="M306" s="113"/>
      <c r="N306" s="113"/>
    </row>
    <row r="307" spans="1:14" s="8" customFormat="1" ht="15" customHeight="1">
      <c r="A307" s="143" t="s">
        <v>324</v>
      </c>
      <c r="B307" s="115"/>
      <c r="C307" s="115">
        <v>225</v>
      </c>
      <c r="D307" s="115">
        <v>800000000</v>
      </c>
      <c r="E307" s="115"/>
      <c r="F307" s="115">
        <v>225</v>
      </c>
      <c r="G307" s="102" t="s">
        <v>531</v>
      </c>
      <c r="H307" s="118">
        <f t="shared" si="26"/>
        <v>132945.86</v>
      </c>
      <c r="I307" s="125">
        <v>132945.86</v>
      </c>
      <c r="J307" s="125"/>
      <c r="K307" s="113"/>
      <c r="L307" s="113"/>
      <c r="M307" s="113"/>
      <c r="N307" s="113"/>
    </row>
    <row r="308" spans="1:14" s="8" customFormat="1" ht="15" customHeight="1">
      <c r="A308" s="143" t="s">
        <v>324</v>
      </c>
      <c r="B308" s="115"/>
      <c r="C308" s="115">
        <v>225</v>
      </c>
      <c r="D308" s="115">
        <v>800000000</v>
      </c>
      <c r="E308" s="115"/>
      <c r="F308" s="115">
        <v>225</v>
      </c>
      <c r="G308" s="102" t="s">
        <v>532</v>
      </c>
      <c r="H308" s="118">
        <f t="shared" si="26"/>
        <v>2270207.21</v>
      </c>
      <c r="I308" s="125">
        <f>2200842.68+69364.53</f>
        <v>2270207.21</v>
      </c>
      <c r="J308" s="125"/>
      <c r="K308" s="113"/>
      <c r="L308" s="113"/>
      <c r="M308" s="113"/>
      <c r="N308" s="113"/>
    </row>
    <row r="309" spans="1:14" s="8" customFormat="1" ht="15" customHeight="1">
      <c r="A309" s="143" t="s">
        <v>324</v>
      </c>
      <c r="B309" s="115"/>
      <c r="C309" s="115">
        <v>225</v>
      </c>
      <c r="D309" s="116" t="s">
        <v>521</v>
      </c>
      <c r="E309" s="115"/>
      <c r="F309" s="115">
        <v>225</v>
      </c>
      <c r="G309" s="102" t="s">
        <v>533</v>
      </c>
      <c r="H309" s="118">
        <f t="shared" si="26"/>
        <v>2634941.9499999997</v>
      </c>
      <c r="I309" s="125">
        <v>0</v>
      </c>
      <c r="J309" s="125"/>
      <c r="K309" s="113"/>
      <c r="L309" s="113"/>
      <c r="M309" s="113">
        <f>2600998.63+33943.32</f>
        <v>2634941.9499999997</v>
      </c>
      <c r="N309" s="113"/>
    </row>
    <row r="310" spans="1:14" s="8" customFormat="1" ht="15" customHeight="1">
      <c r="A310" s="143" t="s">
        <v>325</v>
      </c>
      <c r="B310" s="115"/>
      <c r="C310" s="115">
        <v>310</v>
      </c>
      <c r="D310" s="115">
        <v>800000000</v>
      </c>
      <c r="E310" s="115"/>
      <c r="F310" s="115">
        <v>310</v>
      </c>
      <c r="G310" s="102" t="s">
        <v>531</v>
      </c>
      <c r="H310" s="118">
        <f t="shared" si="26"/>
        <v>450000</v>
      </c>
      <c r="I310" s="125">
        <v>450000</v>
      </c>
      <c r="J310" s="125"/>
      <c r="K310" s="113"/>
      <c r="L310" s="113"/>
      <c r="M310" s="113"/>
      <c r="N310" s="113"/>
    </row>
    <row r="311" spans="1:14" s="8" customFormat="1" ht="15" customHeight="1">
      <c r="A311" s="143" t="s">
        <v>325</v>
      </c>
      <c r="B311" s="115"/>
      <c r="C311" s="115">
        <v>310</v>
      </c>
      <c r="D311" s="115">
        <v>800000000</v>
      </c>
      <c r="E311" s="115"/>
      <c r="F311" s="115">
        <v>310</v>
      </c>
      <c r="G311" s="102" t="s">
        <v>532</v>
      </c>
      <c r="H311" s="118">
        <f t="shared" si="26"/>
        <v>262999.9</v>
      </c>
      <c r="I311" s="125">
        <v>262999.9</v>
      </c>
      <c r="J311" s="125"/>
      <c r="K311" s="113"/>
      <c r="L311" s="113"/>
      <c r="M311" s="113"/>
      <c r="N311" s="113"/>
    </row>
    <row r="312" spans="1:14" s="8" customFormat="1" ht="15" customHeight="1">
      <c r="A312" s="143" t="s">
        <v>325</v>
      </c>
      <c r="B312" s="115"/>
      <c r="C312" s="115">
        <v>310</v>
      </c>
      <c r="D312" s="116" t="s">
        <v>521</v>
      </c>
      <c r="E312" s="115"/>
      <c r="F312" s="115">
        <v>310</v>
      </c>
      <c r="G312" s="102" t="s">
        <v>533</v>
      </c>
      <c r="H312" s="118">
        <f t="shared" si="26"/>
        <v>104248</v>
      </c>
      <c r="I312" s="125">
        <v>0</v>
      </c>
      <c r="J312" s="125"/>
      <c r="K312" s="113"/>
      <c r="L312" s="113"/>
      <c r="M312" s="113">
        <v>104248</v>
      </c>
      <c r="N312" s="113"/>
    </row>
    <row r="313" spans="1:14" s="8" customFormat="1" ht="15" customHeight="1">
      <c r="A313" s="143" t="s">
        <v>326</v>
      </c>
      <c r="B313" s="115"/>
      <c r="C313" s="115">
        <v>320</v>
      </c>
      <c r="D313" s="115"/>
      <c r="E313" s="115"/>
      <c r="F313" s="115">
        <v>320</v>
      </c>
      <c r="G313" s="122"/>
      <c r="H313" s="118">
        <f t="shared" si="26"/>
        <v>0</v>
      </c>
      <c r="I313" s="125">
        <v>0</v>
      </c>
      <c r="J313" s="125"/>
      <c r="K313" s="113"/>
      <c r="L313" s="113"/>
      <c r="M313" s="113"/>
      <c r="N313" s="113"/>
    </row>
    <row r="314" spans="1:14" s="8" customFormat="1" ht="15" customHeight="1">
      <c r="A314" s="143" t="s">
        <v>327</v>
      </c>
      <c r="B314" s="115"/>
      <c r="C314" s="115">
        <v>340</v>
      </c>
      <c r="D314" s="115"/>
      <c r="E314" s="115"/>
      <c r="F314" s="115">
        <v>340</v>
      </c>
      <c r="G314" s="122"/>
      <c r="H314" s="118">
        <f t="shared" si="26"/>
        <v>124943.1</v>
      </c>
      <c r="I314" s="125">
        <f aca="true" t="shared" si="27" ref="I314:N314">I315+I316+I317+I318+I319</f>
        <v>124943.1</v>
      </c>
      <c r="J314" s="125">
        <f t="shared" si="27"/>
        <v>0</v>
      </c>
      <c r="K314" s="125">
        <f t="shared" si="27"/>
        <v>0</v>
      </c>
      <c r="L314" s="125">
        <f t="shared" si="27"/>
        <v>0</v>
      </c>
      <c r="M314" s="125">
        <f t="shared" si="27"/>
        <v>0</v>
      </c>
      <c r="N314" s="125">
        <f t="shared" si="27"/>
        <v>0</v>
      </c>
    </row>
    <row r="315" spans="1:14" s="8" customFormat="1" ht="15" customHeight="1">
      <c r="A315" s="143" t="s">
        <v>4</v>
      </c>
      <c r="B315" s="115"/>
      <c r="C315" s="115"/>
      <c r="D315" s="115"/>
      <c r="E315" s="115"/>
      <c r="F315" s="115"/>
      <c r="G315" s="122"/>
      <c r="H315" s="118"/>
      <c r="I315" s="125"/>
      <c r="J315" s="125"/>
      <c r="K315" s="113"/>
      <c r="L315" s="113"/>
      <c r="M315" s="113"/>
      <c r="N315" s="113"/>
    </row>
    <row r="316" spans="1:14" s="8" customFormat="1" ht="15" customHeight="1">
      <c r="A316" s="143" t="s">
        <v>328</v>
      </c>
      <c r="B316" s="115"/>
      <c r="C316" s="115"/>
      <c r="D316" s="115"/>
      <c r="E316" s="115"/>
      <c r="F316" s="115"/>
      <c r="G316" s="102"/>
      <c r="H316" s="118">
        <f>I316+J316+K316+L316+M316+N316</f>
        <v>0</v>
      </c>
      <c r="I316" s="125">
        <v>0</v>
      </c>
      <c r="J316" s="125"/>
      <c r="K316" s="113"/>
      <c r="L316" s="113"/>
      <c r="M316" s="113"/>
      <c r="N316" s="113"/>
    </row>
    <row r="317" spans="1:14" s="8" customFormat="1" ht="15" customHeight="1">
      <c r="A317" s="143" t="s">
        <v>329</v>
      </c>
      <c r="B317" s="115"/>
      <c r="C317" s="115"/>
      <c r="D317" s="115"/>
      <c r="E317" s="115"/>
      <c r="F317" s="115"/>
      <c r="G317" s="122"/>
      <c r="H317" s="118">
        <f>I317+J317+K317+L317+M317+N317</f>
        <v>0</v>
      </c>
      <c r="I317" s="125">
        <v>0</v>
      </c>
      <c r="J317" s="125"/>
      <c r="K317" s="113"/>
      <c r="L317" s="113"/>
      <c r="M317" s="113"/>
      <c r="N317" s="113"/>
    </row>
    <row r="318" spans="1:14" s="8" customFormat="1" ht="15" customHeight="1">
      <c r="A318" s="143" t="s">
        <v>330</v>
      </c>
      <c r="B318" s="115"/>
      <c r="C318" s="115">
        <v>346</v>
      </c>
      <c r="D318" s="115">
        <v>800000000</v>
      </c>
      <c r="E318" s="115"/>
      <c r="F318" s="115"/>
      <c r="G318" s="102" t="s">
        <v>532</v>
      </c>
      <c r="H318" s="118">
        <f>I318+J318+K318+L318+M318+N318</f>
        <v>124943.1</v>
      </c>
      <c r="I318" s="125">
        <v>124943.1</v>
      </c>
      <c r="J318" s="125"/>
      <c r="K318" s="113"/>
      <c r="L318" s="113"/>
      <c r="M318" s="113"/>
      <c r="N318" s="113"/>
    </row>
    <row r="319" spans="1:14" s="8" customFormat="1" ht="15" customHeight="1">
      <c r="A319" s="143" t="s">
        <v>331</v>
      </c>
      <c r="B319" s="115"/>
      <c r="C319" s="115"/>
      <c r="D319" s="115"/>
      <c r="E319" s="115"/>
      <c r="F319" s="115"/>
      <c r="G319" s="122"/>
      <c r="H319" s="118">
        <f>I319+J319+K319+L319+M319+N319</f>
        <v>0</v>
      </c>
      <c r="I319" s="125">
        <v>0</v>
      </c>
      <c r="J319" s="125"/>
      <c r="K319" s="113"/>
      <c r="L319" s="113"/>
      <c r="M319" s="113"/>
      <c r="N319" s="113"/>
    </row>
    <row r="320" spans="1:14" s="8" customFormat="1" ht="17.25" customHeight="1">
      <c r="A320" s="143" t="s">
        <v>332</v>
      </c>
      <c r="B320" s="115"/>
      <c r="C320" s="115">
        <v>530</v>
      </c>
      <c r="D320" s="115"/>
      <c r="E320" s="115">
        <v>465</v>
      </c>
      <c r="F320" s="115">
        <v>530</v>
      </c>
      <c r="G320" s="122"/>
      <c r="H320" s="118"/>
      <c r="I320" s="125"/>
      <c r="J320" s="125"/>
      <c r="K320" s="113"/>
      <c r="L320" s="113"/>
      <c r="M320" s="113"/>
      <c r="N320" s="113"/>
    </row>
    <row r="321" spans="1:14" s="8" customFormat="1" ht="17.25" customHeight="1">
      <c r="A321" s="143" t="s">
        <v>333</v>
      </c>
      <c r="B321" s="115"/>
      <c r="C321" s="115">
        <v>226</v>
      </c>
      <c r="D321" s="115">
        <v>800000000</v>
      </c>
      <c r="E321" s="115">
        <v>244</v>
      </c>
      <c r="F321" s="115">
        <v>226</v>
      </c>
      <c r="G321" s="122"/>
      <c r="H321" s="118">
        <f>I321+J321+K321+L321+M321+N321</f>
        <v>305456.9</v>
      </c>
      <c r="I321" s="125">
        <f>SUM(I323:I326)</f>
        <v>305456.9</v>
      </c>
      <c r="J321" s="125">
        <f>J323+J324+J325</f>
        <v>0</v>
      </c>
      <c r="K321" s="125">
        <f>K323+K324+K325</f>
        <v>0</v>
      </c>
      <c r="L321" s="125">
        <f>L323+L324+L325</f>
        <v>0</v>
      </c>
      <c r="M321" s="125">
        <f>M323+M324+M325</f>
        <v>0</v>
      </c>
      <c r="N321" s="125">
        <f>N323+N324+N325</f>
        <v>0</v>
      </c>
    </row>
    <row r="322" spans="1:14" s="8" customFormat="1" ht="17.25" customHeight="1">
      <c r="A322" s="143" t="s">
        <v>4</v>
      </c>
      <c r="B322" s="115"/>
      <c r="C322" s="115"/>
      <c r="D322" s="115"/>
      <c r="E322" s="115"/>
      <c r="F322" s="115"/>
      <c r="G322" s="122"/>
      <c r="H322" s="118"/>
      <c r="I322" s="125"/>
      <c r="J322" s="125"/>
      <c r="K322" s="113"/>
      <c r="L322" s="113"/>
      <c r="M322" s="113"/>
      <c r="N322" s="113"/>
    </row>
    <row r="323" spans="1:14" s="8" customFormat="1" ht="17.25" customHeight="1">
      <c r="A323" s="143" t="s">
        <v>334</v>
      </c>
      <c r="B323" s="115"/>
      <c r="C323" s="115"/>
      <c r="D323" s="115"/>
      <c r="E323" s="115"/>
      <c r="F323" s="115"/>
      <c r="G323" s="122"/>
      <c r="H323" s="118">
        <f aca="true" t="shared" si="28" ref="H323:H328">I323+J323+K323+L323+M323+N323</f>
        <v>0</v>
      </c>
      <c r="I323" s="125"/>
      <c r="J323" s="125"/>
      <c r="K323" s="113"/>
      <c r="L323" s="113"/>
      <c r="M323" s="113"/>
      <c r="N323" s="113"/>
    </row>
    <row r="324" spans="1:14" s="8" customFormat="1" ht="28.5" customHeight="1">
      <c r="A324" s="143" t="s">
        <v>335</v>
      </c>
      <c r="B324" s="115"/>
      <c r="C324" s="115"/>
      <c r="D324" s="115"/>
      <c r="E324" s="115"/>
      <c r="F324" s="115"/>
      <c r="G324" s="122"/>
      <c r="H324" s="118">
        <f t="shared" si="28"/>
        <v>0</v>
      </c>
      <c r="I324" s="125"/>
      <c r="J324" s="125"/>
      <c r="K324" s="113"/>
      <c r="L324" s="113"/>
      <c r="M324" s="113"/>
      <c r="N324" s="113"/>
    </row>
    <row r="325" spans="1:14" s="8" customFormat="1" ht="17.25" customHeight="1">
      <c r="A325" s="143" t="s">
        <v>336</v>
      </c>
      <c r="B325" s="115"/>
      <c r="C325" s="115">
        <v>226</v>
      </c>
      <c r="D325" s="115">
        <v>800000000</v>
      </c>
      <c r="E325" s="115">
        <v>244</v>
      </c>
      <c r="F325" s="115">
        <v>226</v>
      </c>
      <c r="G325" s="102" t="s">
        <v>531</v>
      </c>
      <c r="H325" s="118">
        <f t="shared" si="28"/>
        <v>101269</v>
      </c>
      <c r="I325" s="125">
        <v>101269</v>
      </c>
      <c r="J325" s="125"/>
      <c r="K325" s="113"/>
      <c r="L325" s="113"/>
      <c r="M325" s="113"/>
      <c r="N325" s="113"/>
    </row>
    <row r="326" spans="1:14" s="8" customFormat="1" ht="17.25" customHeight="1">
      <c r="A326" s="143" t="s">
        <v>336</v>
      </c>
      <c r="B326" s="115"/>
      <c r="C326" s="115">
        <v>226</v>
      </c>
      <c r="D326" s="115">
        <v>800000000</v>
      </c>
      <c r="E326" s="115">
        <v>244</v>
      </c>
      <c r="F326" s="115">
        <v>226</v>
      </c>
      <c r="G326" s="102" t="s">
        <v>532</v>
      </c>
      <c r="H326" s="118">
        <f t="shared" si="28"/>
        <v>204187.9</v>
      </c>
      <c r="I326" s="125">
        <v>204187.9</v>
      </c>
      <c r="J326" s="125"/>
      <c r="K326" s="113"/>
      <c r="L326" s="113"/>
      <c r="M326" s="113"/>
      <c r="N326" s="113"/>
    </row>
    <row r="327" spans="1:14" s="8" customFormat="1" ht="17.25" customHeight="1">
      <c r="A327" s="143" t="s">
        <v>336</v>
      </c>
      <c r="B327" s="115"/>
      <c r="C327" s="115">
        <v>226</v>
      </c>
      <c r="D327" s="116" t="s">
        <v>521</v>
      </c>
      <c r="E327" s="115">
        <v>244</v>
      </c>
      <c r="F327" s="115">
        <v>226</v>
      </c>
      <c r="G327" s="102" t="s">
        <v>533</v>
      </c>
      <c r="H327" s="118">
        <f t="shared" si="28"/>
        <v>774014.58</v>
      </c>
      <c r="I327" s="125">
        <v>0</v>
      </c>
      <c r="J327" s="125"/>
      <c r="K327" s="113"/>
      <c r="L327" s="113"/>
      <c r="M327" s="113">
        <v>774014.58</v>
      </c>
      <c r="N327" s="113"/>
    </row>
    <row r="328" spans="1:14" s="8" customFormat="1" ht="17.25" customHeight="1">
      <c r="A328" s="143" t="s">
        <v>400</v>
      </c>
      <c r="B328" s="115"/>
      <c r="C328" s="115">
        <v>296</v>
      </c>
      <c r="D328" s="115"/>
      <c r="E328" s="115">
        <v>244</v>
      </c>
      <c r="F328" s="115">
        <v>296</v>
      </c>
      <c r="G328" s="122"/>
      <c r="H328" s="118">
        <f t="shared" si="28"/>
        <v>0</v>
      </c>
      <c r="I328" s="125"/>
      <c r="J328" s="125"/>
      <c r="K328" s="113"/>
      <c r="L328" s="113"/>
      <c r="M328" s="113"/>
      <c r="N328" s="113"/>
    </row>
    <row r="329" spans="1:14" s="8" customFormat="1" ht="17.25" customHeight="1">
      <c r="A329" s="137" t="s">
        <v>53</v>
      </c>
      <c r="B329" s="115">
        <v>300</v>
      </c>
      <c r="C329" s="115" t="s">
        <v>10</v>
      </c>
      <c r="D329" s="115"/>
      <c r="E329" s="115"/>
      <c r="F329" s="115" t="s">
        <v>10</v>
      </c>
      <c r="G329" s="122"/>
      <c r="H329" s="118">
        <f>H331+H332</f>
        <v>0</v>
      </c>
      <c r="I329" s="125">
        <f aca="true" t="shared" si="29" ref="I329:N329">I331+I332</f>
        <v>0</v>
      </c>
      <c r="J329" s="125">
        <f t="shared" si="29"/>
        <v>0</v>
      </c>
      <c r="K329" s="125">
        <f t="shared" si="29"/>
        <v>0</v>
      </c>
      <c r="L329" s="125">
        <f t="shared" si="29"/>
        <v>0</v>
      </c>
      <c r="M329" s="125">
        <f t="shared" si="29"/>
        <v>0</v>
      </c>
      <c r="N329" s="125">
        <f t="shared" si="29"/>
        <v>0</v>
      </c>
    </row>
    <row r="330" spans="1:14" s="8" customFormat="1" ht="14.25" customHeight="1">
      <c r="A330" s="137" t="s">
        <v>3</v>
      </c>
      <c r="B330" s="115"/>
      <c r="C330" s="149"/>
      <c r="D330" s="115"/>
      <c r="E330" s="115"/>
      <c r="F330" s="149"/>
      <c r="G330" s="150"/>
      <c r="H330" s="118"/>
      <c r="I330" s="125"/>
      <c r="J330" s="125"/>
      <c r="K330" s="113"/>
      <c r="L330" s="113"/>
      <c r="M330" s="113"/>
      <c r="N330" s="113"/>
    </row>
    <row r="331" spans="1:14" s="8" customFormat="1" ht="16.5" customHeight="1">
      <c r="A331" s="137" t="s">
        <v>54</v>
      </c>
      <c r="B331" s="145">
        <v>310</v>
      </c>
      <c r="C331" s="151"/>
      <c r="D331" s="145"/>
      <c r="E331" s="145"/>
      <c r="F331" s="151"/>
      <c r="G331" s="152"/>
      <c r="H331" s="118">
        <f>I331+J331+K331+L331+M331+N331</f>
        <v>0</v>
      </c>
      <c r="I331" s="125"/>
      <c r="J331" s="125"/>
      <c r="K331" s="113"/>
      <c r="L331" s="113"/>
      <c r="M331" s="113"/>
      <c r="N331" s="113"/>
    </row>
    <row r="332" spans="1:14" s="153" customFormat="1" ht="15" customHeight="1">
      <c r="A332" s="137" t="s">
        <v>55</v>
      </c>
      <c r="B332" s="115">
        <v>320</v>
      </c>
      <c r="C332" s="115"/>
      <c r="D332" s="115"/>
      <c r="E332" s="115"/>
      <c r="F332" s="115"/>
      <c r="G332" s="122"/>
      <c r="H332" s="118">
        <f>I332+J332+K332+L332+M332+N332</f>
        <v>0</v>
      </c>
      <c r="I332" s="125"/>
      <c r="J332" s="125"/>
      <c r="K332" s="113"/>
      <c r="L332" s="113"/>
      <c r="M332" s="113"/>
      <c r="N332" s="113"/>
    </row>
    <row r="333" spans="1:14" s="153" customFormat="1" ht="17.25" customHeight="1">
      <c r="A333" s="137" t="s">
        <v>56</v>
      </c>
      <c r="B333" s="115">
        <v>400</v>
      </c>
      <c r="C333" s="115"/>
      <c r="D333" s="115"/>
      <c r="E333" s="115"/>
      <c r="F333" s="115"/>
      <c r="G333" s="122"/>
      <c r="H333" s="118">
        <f>H335+H336</f>
        <v>0</v>
      </c>
      <c r="I333" s="125">
        <f aca="true" t="shared" si="30" ref="I333:N333">I335+I336</f>
        <v>0</v>
      </c>
      <c r="J333" s="125">
        <f t="shared" si="30"/>
        <v>0</v>
      </c>
      <c r="K333" s="125">
        <f t="shared" si="30"/>
        <v>0</v>
      </c>
      <c r="L333" s="125">
        <f t="shared" si="30"/>
        <v>0</v>
      </c>
      <c r="M333" s="125">
        <f t="shared" si="30"/>
        <v>0</v>
      </c>
      <c r="N333" s="125">
        <f t="shared" si="30"/>
        <v>0</v>
      </c>
    </row>
    <row r="334" spans="1:14" s="153" customFormat="1" ht="14.25" customHeight="1">
      <c r="A334" s="137" t="s">
        <v>3</v>
      </c>
      <c r="B334" s="115"/>
      <c r="C334" s="149"/>
      <c r="D334" s="115"/>
      <c r="E334" s="115"/>
      <c r="F334" s="149"/>
      <c r="G334" s="150"/>
      <c r="H334" s="118"/>
      <c r="I334" s="125"/>
      <c r="J334" s="125"/>
      <c r="K334" s="113"/>
      <c r="L334" s="113"/>
      <c r="M334" s="113"/>
      <c r="N334" s="113"/>
    </row>
    <row r="335" spans="1:14" s="153" customFormat="1" ht="15.75" customHeight="1">
      <c r="A335" s="137" t="s">
        <v>57</v>
      </c>
      <c r="B335" s="145">
        <v>410</v>
      </c>
      <c r="C335" s="151"/>
      <c r="D335" s="145"/>
      <c r="E335" s="145"/>
      <c r="F335" s="151"/>
      <c r="G335" s="152"/>
      <c r="H335" s="118">
        <f aca="true" t="shared" si="31" ref="H335:H344">I335+J335+K335+L335+M335+N335</f>
        <v>0</v>
      </c>
      <c r="I335" s="125"/>
      <c r="J335" s="125"/>
      <c r="K335" s="113"/>
      <c r="L335" s="113"/>
      <c r="M335" s="113"/>
      <c r="N335" s="113"/>
    </row>
    <row r="336" spans="1:14" s="153" customFormat="1" ht="13.5" customHeight="1">
      <c r="A336" s="137" t="s">
        <v>58</v>
      </c>
      <c r="B336" s="115">
        <v>420</v>
      </c>
      <c r="C336" s="115"/>
      <c r="D336" s="115"/>
      <c r="E336" s="115"/>
      <c r="F336" s="115"/>
      <c r="G336" s="122"/>
      <c r="H336" s="118">
        <f t="shared" si="31"/>
        <v>0</v>
      </c>
      <c r="I336" s="125"/>
      <c r="J336" s="125"/>
      <c r="K336" s="113"/>
      <c r="L336" s="113"/>
      <c r="M336" s="113"/>
      <c r="N336" s="113"/>
    </row>
    <row r="337" spans="1:14" s="153" customFormat="1" ht="28.5" customHeight="1">
      <c r="A337" s="137" t="s">
        <v>337</v>
      </c>
      <c r="B337" s="115">
        <v>500</v>
      </c>
      <c r="C337" s="115" t="s">
        <v>10</v>
      </c>
      <c r="D337" s="115"/>
      <c r="E337" s="115"/>
      <c r="F337" s="115" t="s">
        <v>10</v>
      </c>
      <c r="G337" s="122"/>
      <c r="H337" s="118">
        <f t="shared" si="31"/>
        <v>0</v>
      </c>
      <c r="I337" s="125">
        <f>I338+I339</f>
        <v>0</v>
      </c>
      <c r="J337" s="125">
        <f>J338+J339</f>
        <v>0</v>
      </c>
      <c r="K337" s="125">
        <f>K338+K339</f>
        <v>0</v>
      </c>
      <c r="L337" s="125">
        <f>L338+L339</f>
        <v>0</v>
      </c>
      <c r="M337" s="125">
        <f>M338+M339+M340+M341+M342+M343</f>
        <v>0</v>
      </c>
      <c r="N337" s="125">
        <f>N338+N339</f>
        <v>0</v>
      </c>
    </row>
    <row r="338" spans="1:14" s="153" customFormat="1" ht="18" customHeight="1">
      <c r="A338" s="137" t="s">
        <v>59</v>
      </c>
      <c r="B338" s="115"/>
      <c r="C338" s="115">
        <v>131</v>
      </c>
      <c r="D338" s="115">
        <v>800000000</v>
      </c>
      <c r="E338" s="115"/>
      <c r="F338" s="115">
        <v>131</v>
      </c>
      <c r="G338" s="102" t="s">
        <v>532</v>
      </c>
      <c r="H338" s="118">
        <f t="shared" si="31"/>
        <v>0</v>
      </c>
      <c r="I338" s="154">
        <v>0</v>
      </c>
      <c r="J338" s="125"/>
      <c r="K338" s="113"/>
      <c r="L338" s="113"/>
      <c r="M338" s="113"/>
      <c r="N338" s="113"/>
    </row>
    <row r="339" spans="1:14" s="153" customFormat="1" ht="18" customHeight="1">
      <c r="A339" s="137" t="s">
        <v>59</v>
      </c>
      <c r="B339" s="115"/>
      <c r="C339" s="115">
        <v>152</v>
      </c>
      <c r="D339" s="115">
        <v>901480000</v>
      </c>
      <c r="E339" s="115"/>
      <c r="F339" s="115">
        <v>152</v>
      </c>
      <c r="G339" s="122" t="s">
        <v>535</v>
      </c>
      <c r="H339" s="118">
        <f t="shared" si="31"/>
        <v>0</v>
      </c>
      <c r="I339" s="154">
        <v>0</v>
      </c>
      <c r="J339" s="125"/>
      <c r="K339" s="113"/>
      <c r="L339" s="113"/>
      <c r="M339" s="113"/>
      <c r="N339" s="113"/>
    </row>
    <row r="340" spans="1:14" s="153" customFormat="1" ht="18" customHeight="1">
      <c r="A340" s="137" t="s">
        <v>59</v>
      </c>
      <c r="B340" s="115"/>
      <c r="C340" s="115">
        <v>121</v>
      </c>
      <c r="D340" s="116" t="s">
        <v>521</v>
      </c>
      <c r="E340" s="115"/>
      <c r="F340" s="115">
        <v>121</v>
      </c>
      <c r="G340" s="102" t="s">
        <v>533</v>
      </c>
      <c r="H340" s="118">
        <f t="shared" si="31"/>
        <v>0</v>
      </c>
      <c r="I340" s="154">
        <v>0</v>
      </c>
      <c r="J340" s="125"/>
      <c r="K340" s="113"/>
      <c r="L340" s="113"/>
      <c r="M340" s="113"/>
      <c r="N340" s="113"/>
    </row>
    <row r="341" spans="1:14" s="153" customFormat="1" ht="18" customHeight="1">
      <c r="A341" s="137" t="s">
        <v>59</v>
      </c>
      <c r="B341" s="115"/>
      <c r="C341" s="115">
        <v>131</v>
      </c>
      <c r="D341" s="116" t="s">
        <v>521</v>
      </c>
      <c r="E341" s="115"/>
      <c r="F341" s="115">
        <v>131</v>
      </c>
      <c r="G341" s="102" t="s">
        <v>533</v>
      </c>
      <c r="H341" s="118">
        <f t="shared" si="31"/>
        <v>0</v>
      </c>
      <c r="I341" s="154">
        <v>0</v>
      </c>
      <c r="J341" s="125"/>
      <c r="K341" s="113"/>
      <c r="L341" s="113"/>
      <c r="M341" s="113"/>
      <c r="N341" s="113"/>
    </row>
    <row r="342" spans="1:14" s="153" customFormat="1" ht="18" customHeight="1">
      <c r="A342" s="137" t="s">
        <v>59</v>
      </c>
      <c r="B342" s="115"/>
      <c r="C342" s="115">
        <v>135</v>
      </c>
      <c r="D342" s="116" t="s">
        <v>521</v>
      </c>
      <c r="E342" s="115"/>
      <c r="F342" s="115">
        <v>135</v>
      </c>
      <c r="G342" s="102" t="s">
        <v>533</v>
      </c>
      <c r="H342" s="118">
        <f t="shared" si="31"/>
        <v>0</v>
      </c>
      <c r="I342" s="154">
        <v>0</v>
      </c>
      <c r="J342" s="125"/>
      <c r="K342" s="113"/>
      <c r="L342" s="113"/>
      <c r="M342" s="113"/>
      <c r="N342" s="113"/>
    </row>
    <row r="343" spans="1:14" s="153" customFormat="1" ht="18" customHeight="1">
      <c r="A343" s="137" t="s">
        <v>59</v>
      </c>
      <c r="B343" s="115"/>
      <c r="C343" s="115">
        <v>189</v>
      </c>
      <c r="D343" s="116" t="s">
        <v>521</v>
      </c>
      <c r="E343" s="115"/>
      <c r="F343" s="115">
        <v>189</v>
      </c>
      <c r="G343" s="102" t="s">
        <v>533</v>
      </c>
      <c r="H343" s="118">
        <f t="shared" si="31"/>
        <v>0</v>
      </c>
      <c r="I343" s="154">
        <v>0</v>
      </c>
      <c r="J343" s="125"/>
      <c r="K343" s="113"/>
      <c r="L343" s="113"/>
      <c r="M343" s="113"/>
      <c r="N343" s="113"/>
    </row>
    <row r="344" spans="1:14" s="153" customFormat="1" ht="18" customHeight="1">
      <c r="A344" s="137" t="s">
        <v>60</v>
      </c>
      <c r="B344" s="115">
        <v>600</v>
      </c>
      <c r="C344" s="115" t="s">
        <v>10</v>
      </c>
      <c r="D344" s="115"/>
      <c r="E344" s="115"/>
      <c r="F344" s="115" t="s">
        <v>10</v>
      </c>
      <c r="G344" s="122"/>
      <c r="H344" s="155">
        <f t="shared" si="31"/>
        <v>0</v>
      </c>
      <c r="I344" s="156">
        <f>I191-I247</f>
        <v>0</v>
      </c>
      <c r="J344" s="156">
        <f>J191-J247</f>
        <v>0</v>
      </c>
      <c r="K344" s="156"/>
      <c r="L344" s="156"/>
      <c r="M344" s="156">
        <f>M191-M247</f>
        <v>0</v>
      </c>
      <c r="N344" s="120"/>
    </row>
    <row r="345" spans="1:14" ht="15">
      <c r="A345" s="66"/>
      <c r="B345" s="67"/>
      <c r="C345" s="67"/>
      <c r="D345" s="67"/>
      <c r="E345" s="67"/>
      <c r="F345" s="67"/>
      <c r="G345" s="67"/>
      <c r="H345" s="68"/>
      <c r="I345" s="69"/>
      <c r="J345" s="69"/>
      <c r="K345" s="69"/>
      <c r="L345" s="69"/>
      <c r="M345" s="69"/>
      <c r="N345" s="69"/>
    </row>
    <row r="346" spans="1:14" ht="22.5">
      <c r="A346" s="66"/>
      <c r="B346" s="67"/>
      <c r="C346" s="67"/>
      <c r="D346" s="67"/>
      <c r="E346" s="67"/>
      <c r="F346" s="67"/>
      <c r="G346" s="67"/>
      <c r="H346" s="68"/>
      <c r="I346" s="69"/>
      <c r="J346" s="69"/>
      <c r="K346" s="69"/>
      <c r="L346" s="69"/>
      <c r="M346" s="69"/>
      <c r="N346" s="23" t="s">
        <v>380</v>
      </c>
    </row>
    <row r="347" spans="1:14" ht="12.75" customHeight="1">
      <c r="A347" s="38"/>
      <c r="B347" s="21"/>
      <c r="C347" s="21"/>
      <c r="D347" s="21"/>
      <c r="E347" s="21"/>
      <c r="F347" s="21"/>
      <c r="G347" s="21"/>
      <c r="H347" s="457" t="s">
        <v>41</v>
      </c>
      <c r="I347" s="457"/>
      <c r="J347" s="457"/>
      <c r="K347" s="457"/>
      <c r="L347" s="21"/>
      <c r="M347" s="21"/>
      <c r="N347" s="21"/>
    </row>
    <row r="348" spans="1:14" ht="12.75" customHeight="1">
      <c r="A348" s="38"/>
      <c r="B348" s="21"/>
      <c r="C348" s="21"/>
      <c r="D348" s="21"/>
      <c r="E348" s="21"/>
      <c r="F348" s="21"/>
      <c r="G348" s="21"/>
      <c r="H348" s="458" t="s">
        <v>520</v>
      </c>
      <c r="I348" s="458"/>
      <c r="J348" s="458"/>
      <c r="K348" s="458"/>
      <c r="L348" s="21"/>
      <c r="M348" s="21"/>
      <c r="N348" s="21"/>
    </row>
    <row r="349" spans="1:14" ht="12.75" customHeight="1">
      <c r="A349" s="38"/>
      <c r="B349" s="21"/>
      <c r="C349" s="21"/>
      <c r="D349" s="21"/>
      <c r="E349" s="21"/>
      <c r="F349" s="21"/>
      <c r="G349" s="21"/>
      <c r="H349" s="22"/>
      <c r="I349" s="22"/>
      <c r="J349" s="22"/>
      <c r="K349" s="22"/>
      <c r="L349" s="21"/>
      <c r="M349" s="21"/>
      <c r="N349" s="21"/>
    </row>
    <row r="350" spans="1:15" s="8" customFormat="1" ht="18" customHeight="1">
      <c r="A350" s="465" t="s">
        <v>1</v>
      </c>
      <c r="B350" s="455" t="s">
        <v>45</v>
      </c>
      <c r="C350" s="479" t="s">
        <v>397</v>
      </c>
      <c r="D350" s="468" t="s">
        <v>163</v>
      </c>
      <c r="E350" s="462" t="s">
        <v>164</v>
      </c>
      <c r="F350" s="455" t="s">
        <v>165</v>
      </c>
      <c r="G350" s="471" t="s">
        <v>338</v>
      </c>
      <c r="H350" s="459" t="s">
        <v>38</v>
      </c>
      <c r="I350" s="460"/>
      <c r="J350" s="460"/>
      <c r="K350" s="460"/>
      <c r="L350" s="460"/>
      <c r="M350" s="460"/>
      <c r="N350" s="461"/>
      <c r="O350" s="64"/>
    </row>
    <row r="351" spans="1:15" s="8" customFormat="1" ht="16.5" customHeight="1">
      <c r="A351" s="466"/>
      <c r="B351" s="455"/>
      <c r="C351" s="480"/>
      <c r="D351" s="469"/>
      <c r="E351" s="456"/>
      <c r="F351" s="455"/>
      <c r="G351" s="472"/>
      <c r="H351" s="462" t="s">
        <v>33</v>
      </c>
      <c r="I351" s="455" t="s">
        <v>4</v>
      </c>
      <c r="J351" s="455"/>
      <c r="K351" s="455"/>
      <c r="L351" s="455"/>
      <c r="M351" s="455"/>
      <c r="N351" s="455"/>
      <c r="O351" s="64"/>
    </row>
    <row r="352" spans="1:15" s="8" customFormat="1" ht="68.25" customHeight="1">
      <c r="A352" s="466"/>
      <c r="B352" s="455"/>
      <c r="C352" s="480"/>
      <c r="D352" s="469"/>
      <c r="E352" s="456"/>
      <c r="F352" s="455"/>
      <c r="G352" s="472"/>
      <c r="H352" s="456"/>
      <c r="I352" s="463" t="s">
        <v>398</v>
      </c>
      <c r="J352" s="475" t="s">
        <v>166</v>
      </c>
      <c r="K352" s="454" t="s">
        <v>34</v>
      </c>
      <c r="L352" s="456" t="s">
        <v>35</v>
      </c>
      <c r="M352" s="454" t="s">
        <v>50</v>
      </c>
      <c r="N352" s="454"/>
      <c r="O352" s="64"/>
    </row>
    <row r="353" spans="1:15" s="8" customFormat="1" ht="30.75" customHeight="1">
      <c r="A353" s="467"/>
      <c r="B353" s="455"/>
      <c r="C353" s="481"/>
      <c r="D353" s="470"/>
      <c r="E353" s="454"/>
      <c r="F353" s="455"/>
      <c r="G353" s="473"/>
      <c r="H353" s="454"/>
      <c r="I353" s="464"/>
      <c r="J353" s="476"/>
      <c r="K353" s="455"/>
      <c r="L353" s="454"/>
      <c r="M353" s="42" t="s">
        <v>36</v>
      </c>
      <c r="N353" s="42" t="s">
        <v>37</v>
      </c>
      <c r="O353" s="64"/>
    </row>
    <row r="354" spans="1:15" s="9" customFormat="1" ht="12">
      <c r="A354" s="24">
        <v>2</v>
      </c>
      <c r="B354" s="24">
        <v>3</v>
      </c>
      <c r="C354" s="24"/>
      <c r="D354" s="24">
        <v>4</v>
      </c>
      <c r="E354" s="24">
        <v>5</v>
      </c>
      <c r="F354" s="24">
        <v>6</v>
      </c>
      <c r="G354" s="24">
        <v>7</v>
      </c>
      <c r="H354" s="17">
        <v>8</v>
      </c>
      <c r="I354" s="17">
        <v>9</v>
      </c>
      <c r="J354" s="17">
        <v>10</v>
      </c>
      <c r="K354" s="17">
        <v>11</v>
      </c>
      <c r="L354" s="17">
        <v>12</v>
      </c>
      <c r="M354" s="17">
        <v>13</v>
      </c>
      <c r="N354" s="17">
        <v>14</v>
      </c>
      <c r="O354" s="65"/>
    </row>
    <row r="355" spans="1:14" s="107" customFormat="1" ht="12.75">
      <c r="A355" s="103" t="s">
        <v>43</v>
      </c>
      <c r="B355" s="104">
        <v>100</v>
      </c>
      <c r="C355" s="104"/>
      <c r="D355" s="104"/>
      <c r="E355" s="104"/>
      <c r="F355" s="104" t="s">
        <v>10</v>
      </c>
      <c r="G355" s="105"/>
      <c r="H355" s="106">
        <f>H357+H361+H394</f>
        <v>38575022.099999994</v>
      </c>
      <c r="I355" s="106">
        <f>I361</f>
        <v>31789495.74</v>
      </c>
      <c r="J355" s="106">
        <f>J394</f>
        <v>0</v>
      </c>
      <c r="K355" s="106">
        <f>K395</f>
        <v>0</v>
      </c>
      <c r="L355" s="106">
        <f>L361</f>
        <v>0</v>
      </c>
      <c r="M355" s="106">
        <f>M357+M361+M393+M402</f>
        <v>6785526.36</v>
      </c>
      <c r="N355" s="106">
        <f>N361+N402</f>
        <v>0</v>
      </c>
    </row>
    <row r="356" spans="1:14" s="107" customFormat="1" ht="12.75">
      <c r="A356" s="108" t="s">
        <v>3</v>
      </c>
      <c r="B356" s="109"/>
      <c r="C356" s="109"/>
      <c r="D356" s="109"/>
      <c r="E356" s="109"/>
      <c r="F356" s="109"/>
      <c r="G356" s="110"/>
      <c r="H356" s="111"/>
      <c r="I356" s="111"/>
      <c r="J356" s="111"/>
      <c r="K356" s="112"/>
      <c r="L356" s="112"/>
      <c r="M356" s="113"/>
      <c r="N356" s="112"/>
    </row>
    <row r="357" spans="1:14" s="121" customFormat="1" ht="17.25" customHeight="1">
      <c r="A357" s="114" t="s">
        <v>32</v>
      </c>
      <c r="B357" s="115">
        <v>110</v>
      </c>
      <c r="C357" s="115">
        <v>120</v>
      </c>
      <c r="D357" s="116" t="s">
        <v>521</v>
      </c>
      <c r="E357" s="115"/>
      <c r="F357" s="115">
        <v>120</v>
      </c>
      <c r="G357" s="117" t="s">
        <v>363</v>
      </c>
      <c r="H357" s="118">
        <f>M357</f>
        <v>750526.36</v>
      </c>
      <c r="I357" s="115" t="s">
        <v>74</v>
      </c>
      <c r="J357" s="115" t="s">
        <v>74</v>
      </c>
      <c r="K357" s="119" t="s">
        <v>10</v>
      </c>
      <c r="L357" s="119" t="s">
        <v>10</v>
      </c>
      <c r="M357" s="120">
        <f>M359+M360</f>
        <v>750526.36</v>
      </c>
      <c r="N357" s="119" t="s">
        <v>10</v>
      </c>
    </row>
    <row r="358" spans="1:14" s="121" customFormat="1" ht="12.75">
      <c r="A358" s="114" t="s">
        <v>364</v>
      </c>
      <c r="B358" s="115"/>
      <c r="C358" s="115"/>
      <c r="D358" s="116"/>
      <c r="E358" s="115"/>
      <c r="F358" s="115"/>
      <c r="G358" s="122"/>
      <c r="H358" s="118"/>
      <c r="I358" s="122"/>
      <c r="J358" s="115"/>
      <c r="K358" s="119"/>
      <c r="L358" s="123"/>
      <c r="M358" s="118"/>
      <c r="N358" s="123"/>
    </row>
    <row r="359" spans="1:14" s="121" customFormat="1" ht="14.25" customHeight="1">
      <c r="A359" s="114" t="s">
        <v>365</v>
      </c>
      <c r="B359" s="115"/>
      <c r="C359" s="115">
        <v>121</v>
      </c>
      <c r="D359" s="116" t="s">
        <v>521</v>
      </c>
      <c r="E359" s="115"/>
      <c r="F359" s="115">
        <v>121</v>
      </c>
      <c r="G359" s="117" t="s">
        <v>363</v>
      </c>
      <c r="H359" s="118">
        <f>SUM(I359:M359)</f>
        <v>700526.36</v>
      </c>
      <c r="I359" s="122"/>
      <c r="J359" s="115"/>
      <c r="K359" s="119"/>
      <c r="L359" s="123"/>
      <c r="M359" s="118">
        <v>700526.36</v>
      </c>
      <c r="N359" s="123"/>
    </row>
    <row r="360" spans="1:14" s="121" customFormat="1" ht="21" customHeight="1">
      <c r="A360" s="114" t="s">
        <v>366</v>
      </c>
      <c r="B360" s="115"/>
      <c r="C360" s="115">
        <v>124</v>
      </c>
      <c r="D360" s="116" t="s">
        <v>521</v>
      </c>
      <c r="E360" s="115"/>
      <c r="F360" s="115">
        <v>124</v>
      </c>
      <c r="G360" s="117" t="s">
        <v>363</v>
      </c>
      <c r="H360" s="118">
        <f>SUM(I360:M360)</f>
        <v>50000</v>
      </c>
      <c r="I360" s="122"/>
      <c r="J360" s="115"/>
      <c r="K360" s="119"/>
      <c r="L360" s="123"/>
      <c r="M360" s="118">
        <v>50000</v>
      </c>
      <c r="N360" s="123"/>
    </row>
    <row r="361" spans="1:14" s="121" customFormat="1" ht="23.25" customHeight="1">
      <c r="A361" s="114" t="s">
        <v>367</v>
      </c>
      <c r="B361" s="115">
        <v>120</v>
      </c>
      <c r="C361" s="115">
        <v>130</v>
      </c>
      <c r="D361" s="116" t="s">
        <v>521</v>
      </c>
      <c r="E361" s="115"/>
      <c r="F361" s="115">
        <v>130</v>
      </c>
      <c r="G361" s="122"/>
      <c r="H361" s="118">
        <f>I361+L361+M361+N361</f>
        <v>37824495.739999995</v>
      </c>
      <c r="I361" s="118">
        <f>SUM(I362:I384)</f>
        <v>31789495.74</v>
      </c>
      <c r="J361" s="115" t="s">
        <v>74</v>
      </c>
      <c r="K361" s="115" t="s">
        <v>74</v>
      </c>
      <c r="L361" s="118">
        <f>L362+L364+L366+L368+L370+L372+L373+L374+L375+L376+L377+L378+L379+L380+L381+L382+L383+L384</f>
        <v>0</v>
      </c>
      <c r="M361" s="118">
        <f>M362+M364+M366+M368+M370+M372+M373+M374+M375+M376+M377+M378+M379+M380+M381+M382+M383+M384+M365+M385</f>
        <v>6035000</v>
      </c>
      <c r="N361" s="118">
        <f>N362+N364+N366+N368+N370+N372+N373+N374+N375+N376+N377+N378+N379</f>
        <v>0</v>
      </c>
    </row>
    <row r="362" spans="1:14" s="107" customFormat="1" ht="27.75" customHeight="1">
      <c r="A362" s="124" t="s">
        <v>342</v>
      </c>
      <c r="B362" s="115"/>
      <c r="C362" s="115">
        <v>131</v>
      </c>
      <c r="D362" s="115">
        <v>800000000</v>
      </c>
      <c r="E362" s="115"/>
      <c r="F362" s="115">
        <v>131</v>
      </c>
      <c r="G362" s="181" t="s">
        <v>524</v>
      </c>
      <c r="H362" s="125">
        <f>I362+J362+K362+L362+M362</f>
        <v>0</v>
      </c>
      <c r="I362" s="125">
        <v>0</v>
      </c>
      <c r="J362" s="125">
        <v>0</v>
      </c>
      <c r="K362" s="112"/>
      <c r="L362" s="111"/>
      <c r="M362" s="125">
        <v>0</v>
      </c>
      <c r="N362" s="125"/>
    </row>
    <row r="363" spans="1:14" s="107" customFormat="1" ht="12" customHeight="1">
      <c r="A363" s="124" t="s">
        <v>356</v>
      </c>
      <c r="B363" s="115"/>
      <c r="C363" s="115">
        <v>131</v>
      </c>
      <c r="D363" s="115">
        <v>800000000</v>
      </c>
      <c r="E363" s="115"/>
      <c r="F363" s="115">
        <v>131</v>
      </c>
      <c r="G363" s="181" t="s">
        <v>525</v>
      </c>
      <c r="H363" s="125">
        <f>I363+J363+K363+L363+M363</f>
        <v>0</v>
      </c>
      <c r="I363" s="125">
        <v>0</v>
      </c>
      <c r="J363" s="125">
        <v>0</v>
      </c>
      <c r="K363" s="112"/>
      <c r="L363" s="111"/>
      <c r="M363" s="125">
        <v>0</v>
      </c>
      <c r="N363" s="125"/>
    </row>
    <row r="364" spans="1:14" s="107" customFormat="1" ht="12" customHeight="1">
      <c r="A364" s="114" t="s">
        <v>343</v>
      </c>
      <c r="B364" s="115"/>
      <c r="C364" s="115">
        <v>131</v>
      </c>
      <c r="D364" s="115">
        <v>800000000</v>
      </c>
      <c r="E364" s="115"/>
      <c r="F364" s="115">
        <v>131</v>
      </c>
      <c r="G364" s="181" t="s">
        <v>524</v>
      </c>
      <c r="H364" s="125">
        <f aca="true" t="shared" si="32" ref="H364:H382">I364+J364+K364+L364+M364</f>
        <v>0</v>
      </c>
      <c r="I364" s="125">
        <v>0</v>
      </c>
      <c r="J364" s="125">
        <v>0</v>
      </c>
      <c r="K364" s="112"/>
      <c r="L364" s="111"/>
      <c r="M364" s="125">
        <v>0</v>
      </c>
      <c r="N364" s="125"/>
    </row>
    <row r="365" spans="1:14" s="121" customFormat="1" ht="12" customHeight="1">
      <c r="A365" s="114" t="s">
        <v>343</v>
      </c>
      <c r="B365" s="115"/>
      <c r="C365" s="115">
        <v>131</v>
      </c>
      <c r="D365" s="116" t="s">
        <v>521</v>
      </c>
      <c r="E365" s="115"/>
      <c r="F365" s="115">
        <v>131</v>
      </c>
      <c r="G365" s="117" t="s">
        <v>363</v>
      </c>
      <c r="H365" s="118">
        <f t="shared" si="32"/>
        <v>0</v>
      </c>
      <c r="I365" s="118">
        <v>0</v>
      </c>
      <c r="J365" s="118">
        <v>0</v>
      </c>
      <c r="K365" s="119"/>
      <c r="L365" s="123"/>
      <c r="M365" s="118">
        <v>0</v>
      </c>
      <c r="N365" s="118"/>
    </row>
    <row r="366" spans="1:14" s="107" customFormat="1" ht="26.25" customHeight="1">
      <c r="A366" s="108" t="s">
        <v>344</v>
      </c>
      <c r="B366" s="109"/>
      <c r="C366" s="109">
        <v>131</v>
      </c>
      <c r="D366" s="115">
        <v>800000000</v>
      </c>
      <c r="E366" s="109"/>
      <c r="F366" s="109">
        <v>131</v>
      </c>
      <c r="G366" s="181" t="s">
        <v>525</v>
      </c>
      <c r="H366" s="125">
        <f t="shared" si="32"/>
        <v>8963522.7</v>
      </c>
      <c r="I366" s="125">
        <f>292941+8670581.7</f>
        <v>8963522.7</v>
      </c>
      <c r="J366" s="125"/>
      <c r="K366" s="112"/>
      <c r="L366" s="111"/>
      <c r="M366" s="125"/>
      <c r="N366" s="125"/>
    </row>
    <row r="367" spans="1:14" s="107" customFormat="1" ht="26.25" customHeight="1">
      <c r="A367" s="108" t="s">
        <v>344</v>
      </c>
      <c r="B367" s="109"/>
      <c r="C367" s="109">
        <v>131</v>
      </c>
      <c r="D367" s="115">
        <v>800000000</v>
      </c>
      <c r="E367" s="109"/>
      <c r="F367" s="109">
        <v>131</v>
      </c>
      <c r="G367" s="102" t="s">
        <v>527</v>
      </c>
      <c r="H367" s="125">
        <f t="shared" si="32"/>
        <v>1712009.64</v>
      </c>
      <c r="I367" s="125">
        <f>1712009.64</f>
        <v>1712009.64</v>
      </c>
      <c r="J367" s="125"/>
      <c r="K367" s="112"/>
      <c r="L367" s="111"/>
      <c r="M367" s="125"/>
      <c r="N367" s="125"/>
    </row>
    <row r="368" spans="1:14" s="107" customFormat="1" ht="26.25" customHeight="1">
      <c r="A368" s="108" t="s">
        <v>345</v>
      </c>
      <c r="B368" s="109"/>
      <c r="C368" s="109">
        <v>131</v>
      </c>
      <c r="D368" s="115">
        <v>800000000</v>
      </c>
      <c r="E368" s="109"/>
      <c r="F368" s="109">
        <v>131</v>
      </c>
      <c r="G368" s="181" t="s">
        <v>525</v>
      </c>
      <c r="H368" s="125">
        <f t="shared" si="32"/>
        <v>11162689.2</v>
      </c>
      <c r="I368" s="125">
        <f>360180+10802509.2</f>
        <v>11162689.2</v>
      </c>
      <c r="J368" s="125"/>
      <c r="K368" s="112"/>
      <c r="L368" s="111"/>
      <c r="M368" s="125"/>
      <c r="N368" s="125"/>
    </row>
    <row r="369" spans="1:14" s="107" customFormat="1" ht="27.75" customHeight="1">
      <c r="A369" s="108" t="s">
        <v>345</v>
      </c>
      <c r="B369" s="109"/>
      <c r="C369" s="109">
        <v>131</v>
      </c>
      <c r="D369" s="115">
        <v>800000000</v>
      </c>
      <c r="E369" s="109"/>
      <c r="F369" s="109">
        <v>131</v>
      </c>
      <c r="G369" s="102" t="s">
        <v>527</v>
      </c>
      <c r="H369" s="125">
        <f t="shared" si="32"/>
        <v>1644933.36</v>
      </c>
      <c r="I369" s="125">
        <f>1644933.36</f>
        <v>1644933.36</v>
      </c>
      <c r="J369" s="125"/>
      <c r="K369" s="112"/>
      <c r="L369" s="111"/>
      <c r="M369" s="125"/>
      <c r="N369" s="125"/>
    </row>
    <row r="370" spans="1:14" s="107" customFormat="1" ht="26.25" customHeight="1">
      <c r="A370" s="108" t="s">
        <v>346</v>
      </c>
      <c r="B370" s="109"/>
      <c r="C370" s="109">
        <v>131</v>
      </c>
      <c r="D370" s="115">
        <v>800000000</v>
      </c>
      <c r="E370" s="109"/>
      <c r="F370" s="109">
        <v>131</v>
      </c>
      <c r="G370" s="181" t="s">
        <v>525</v>
      </c>
      <c r="H370" s="125">
        <f t="shared" si="32"/>
        <v>3986028.2</v>
      </c>
      <c r="I370" s="125">
        <f>122248+3863780.2</f>
        <v>3986028.2</v>
      </c>
      <c r="J370" s="125"/>
      <c r="K370" s="112"/>
      <c r="L370" s="111"/>
      <c r="M370" s="125"/>
      <c r="N370" s="125"/>
    </row>
    <row r="371" spans="1:14" s="107" customFormat="1" ht="26.25" customHeight="1">
      <c r="A371" s="108" t="s">
        <v>346</v>
      </c>
      <c r="B371" s="109"/>
      <c r="C371" s="109">
        <v>131</v>
      </c>
      <c r="D371" s="115">
        <v>800000000</v>
      </c>
      <c r="E371" s="109"/>
      <c r="F371" s="109">
        <v>131</v>
      </c>
      <c r="G371" s="102" t="s">
        <v>527</v>
      </c>
      <c r="H371" s="125">
        <f t="shared" si="32"/>
        <v>555423.64</v>
      </c>
      <c r="I371" s="125">
        <f>555423.64</f>
        <v>555423.64</v>
      </c>
      <c r="J371" s="125"/>
      <c r="K371" s="112"/>
      <c r="L371" s="111"/>
      <c r="M371" s="125"/>
      <c r="N371" s="125"/>
    </row>
    <row r="372" spans="1:14" s="107" customFormat="1" ht="12" customHeight="1">
      <c r="A372" s="108" t="s">
        <v>347</v>
      </c>
      <c r="B372" s="109"/>
      <c r="C372" s="109">
        <v>131</v>
      </c>
      <c r="D372" s="115">
        <v>800000000</v>
      </c>
      <c r="E372" s="109"/>
      <c r="F372" s="109">
        <v>131</v>
      </c>
      <c r="G372" s="110"/>
      <c r="H372" s="125">
        <f t="shared" si="32"/>
        <v>0</v>
      </c>
      <c r="I372" s="125">
        <v>0</v>
      </c>
      <c r="J372" s="125"/>
      <c r="K372" s="112"/>
      <c r="L372" s="111"/>
      <c r="M372" s="125"/>
      <c r="N372" s="125"/>
    </row>
    <row r="373" spans="1:14" s="107" customFormat="1" ht="27.75" customHeight="1">
      <c r="A373" s="126" t="s">
        <v>517</v>
      </c>
      <c r="B373" s="109"/>
      <c r="C373" s="109">
        <v>131</v>
      </c>
      <c r="D373" s="115">
        <v>800000000</v>
      </c>
      <c r="E373" s="109"/>
      <c r="F373" s="109">
        <v>131</v>
      </c>
      <c r="G373" s="110"/>
      <c r="H373" s="125">
        <f t="shared" si="32"/>
        <v>0</v>
      </c>
      <c r="I373" s="125">
        <v>0</v>
      </c>
      <c r="J373" s="125"/>
      <c r="K373" s="112"/>
      <c r="L373" s="111"/>
      <c r="M373" s="125"/>
      <c r="N373" s="125"/>
    </row>
    <row r="374" spans="1:14" s="107" customFormat="1" ht="44.25" customHeight="1">
      <c r="A374" s="108" t="s">
        <v>348</v>
      </c>
      <c r="B374" s="109"/>
      <c r="C374" s="109">
        <v>131</v>
      </c>
      <c r="D374" s="115">
        <v>800000000</v>
      </c>
      <c r="E374" s="109"/>
      <c r="F374" s="109">
        <v>131</v>
      </c>
      <c r="G374" s="110"/>
      <c r="H374" s="125">
        <f t="shared" si="32"/>
        <v>0</v>
      </c>
      <c r="I374" s="125">
        <v>0</v>
      </c>
      <c r="J374" s="125"/>
      <c r="K374" s="112"/>
      <c r="L374" s="111"/>
      <c r="M374" s="125"/>
      <c r="N374" s="125"/>
    </row>
    <row r="375" spans="1:14" s="107" customFormat="1" ht="22.5" customHeight="1">
      <c r="A375" s="114" t="s">
        <v>349</v>
      </c>
      <c r="B375" s="115"/>
      <c r="C375" s="115">
        <v>131</v>
      </c>
      <c r="D375" s="115">
        <v>800000000</v>
      </c>
      <c r="E375" s="115"/>
      <c r="F375" s="115">
        <v>131</v>
      </c>
      <c r="G375" s="122"/>
      <c r="H375" s="118">
        <f t="shared" si="32"/>
        <v>0</v>
      </c>
      <c r="I375" s="125">
        <v>0</v>
      </c>
      <c r="J375" s="125"/>
      <c r="K375" s="112"/>
      <c r="L375" s="111"/>
      <c r="M375" s="125"/>
      <c r="N375" s="125"/>
    </row>
    <row r="376" spans="1:14" s="107" customFormat="1" ht="31.5" customHeight="1">
      <c r="A376" s="127" t="s">
        <v>350</v>
      </c>
      <c r="B376" s="115"/>
      <c r="C376" s="115">
        <v>131</v>
      </c>
      <c r="D376" s="115">
        <v>800000000</v>
      </c>
      <c r="E376" s="115"/>
      <c r="F376" s="115">
        <v>131</v>
      </c>
      <c r="G376" s="122"/>
      <c r="H376" s="118">
        <f t="shared" si="32"/>
        <v>0</v>
      </c>
      <c r="I376" s="125">
        <v>0</v>
      </c>
      <c r="J376" s="125"/>
      <c r="K376" s="112"/>
      <c r="L376" s="111"/>
      <c r="M376" s="125"/>
      <c r="N376" s="125"/>
    </row>
    <row r="377" spans="1:14" s="107" customFormat="1" ht="43.5" customHeight="1">
      <c r="A377" s="114" t="s">
        <v>351</v>
      </c>
      <c r="B377" s="115"/>
      <c r="C377" s="115">
        <v>131</v>
      </c>
      <c r="D377" s="115">
        <v>800000000</v>
      </c>
      <c r="E377" s="115"/>
      <c r="F377" s="115">
        <v>131</v>
      </c>
      <c r="G377" s="122"/>
      <c r="H377" s="118">
        <f t="shared" si="32"/>
        <v>0</v>
      </c>
      <c r="I377" s="125">
        <v>0</v>
      </c>
      <c r="J377" s="125"/>
      <c r="K377" s="112"/>
      <c r="L377" s="111"/>
      <c r="M377" s="125"/>
      <c r="N377" s="125"/>
    </row>
    <row r="378" spans="1:14" s="107" customFormat="1" ht="33" customHeight="1">
      <c r="A378" s="114" t="s">
        <v>352</v>
      </c>
      <c r="B378" s="115"/>
      <c r="C378" s="115">
        <v>131</v>
      </c>
      <c r="D378" s="115">
        <v>800000000</v>
      </c>
      <c r="E378" s="115"/>
      <c r="F378" s="115">
        <v>131</v>
      </c>
      <c r="G378" s="122"/>
      <c r="H378" s="118">
        <f t="shared" si="32"/>
        <v>0</v>
      </c>
      <c r="I378" s="125">
        <v>0</v>
      </c>
      <c r="J378" s="125"/>
      <c r="K378" s="112"/>
      <c r="L378" s="111"/>
      <c r="M378" s="125"/>
      <c r="N378" s="125"/>
    </row>
    <row r="379" spans="1:14" s="107" customFormat="1" ht="33.75" customHeight="1">
      <c r="A379" s="114" t="s">
        <v>353</v>
      </c>
      <c r="B379" s="115"/>
      <c r="C379" s="115">
        <v>131</v>
      </c>
      <c r="D379" s="115">
        <v>800000000</v>
      </c>
      <c r="E379" s="115"/>
      <c r="F379" s="115">
        <v>131</v>
      </c>
      <c r="G379" s="122"/>
      <c r="H379" s="118">
        <f t="shared" si="32"/>
        <v>0</v>
      </c>
      <c r="I379" s="125">
        <v>0</v>
      </c>
      <c r="J379" s="125"/>
      <c r="K379" s="112"/>
      <c r="L379" s="111"/>
      <c r="M379" s="125"/>
      <c r="N379" s="125"/>
    </row>
    <row r="380" spans="1:14" s="107" customFormat="1" ht="25.5">
      <c r="A380" s="114" t="s">
        <v>51</v>
      </c>
      <c r="B380" s="115"/>
      <c r="C380" s="115">
        <v>131</v>
      </c>
      <c r="D380" s="115">
        <v>800000000</v>
      </c>
      <c r="E380" s="115"/>
      <c r="F380" s="115">
        <v>131</v>
      </c>
      <c r="G380" s="102" t="s">
        <v>527</v>
      </c>
      <c r="H380" s="118">
        <f t="shared" si="32"/>
        <v>805176</v>
      </c>
      <c r="I380" s="125">
        <v>805176</v>
      </c>
      <c r="J380" s="125"/>
      <c r="K380" s="112"/>
      <c r="L380" s="111"/>
      <c r="M380" s="125"/>
      <c r="N380" s="125"/>
    </row>
    <row r="381" spans="1:14" s="107" customFormat="1" ht="12.75">
      <c r="A381" s="114" t="s">
        <v>52</v>
      </c>
      <c r="B381" s="115"/>
      <c r="C381" s="115">
        <v>131</v>
      </c>
      <c r="D381" s="115">
        <v>800000000</v>
      </c>
      <c r="E381" s="115"/>
      <c r="F381" s="115">
        <v>131</v>
      </c>
      <c r="G381" s="102" t="s">
        <v>527</v>
      </c>
      <c r="H381" s="118">
        <f t="shared" si="32"/>
        <v>2959713</v>
      </c>
      <c r="I381" s="125">
        <v>2959713</v>
      </c>
      <c r="J381" s="125"/>
      <c r="K381" s="112"/>
      <c r="L381" s="111"/>
      <c r="M381" s="125"/>
      <c r="N381" s="125"/>
    </row>
    <row r="382" spans="1:14" s="128" customFormat="1" ht="12.75">
      <c r="A382" s="114" t="s">
        <v>46</v>
      </c>
      <c r="B382" s="115"/>
      <c r="C382" s="115">
        <v>131</v>
      </c>
      <c r="D382" s="116" t="s">
        <v>521</v>
      </c>
      <c r="E382" s="115"/>
      <c r="F382" s="115">
        <v>131</v>
      </c>
      <c r="G382" s="117" t="s">
        <v>363</v>
      </c>
      <c r="H382" s="118">
        <f t="shared" si="32"/>
        <v>5670000</v>
      </c>
      <c r="I382" s="118"/>
      <c r="J382" s="118"/>
      <c r="K382" s="119"/>
      <c r="L382" s="123"/>
      <c r="M382" s="118">
        <v>5670000</v>
      </c>
      <c r="N382" s="118"/>
    </row>
    <row r="383" spans="1:14" s="128" customFormat="1" ht="12.75">
      <c r="A383" s="114" t="s">
        <v>48</v>
      </c>
      <c r="B383" s="115"/>
      <c r="C383" s="115">
        <v>131</v>
      </c>
      <c r="D383" s="116" t="s">
        <v>521</v>
      </c>
      <c r="E383" s="115"/>
      <c r="F383" s="115">
        <v>131</v>
      </c>
      <c r="G383" s="117" t="s">
        <v>363</v>
      </c>
      <c r="H383" s="118">
        <f>I383+J383+K383+L383+M383</f>
        <v>0</v>
      </c>
      <c r="I383" s="118"/>
      <c r="J383" s="118"/>
      <c r="K383" s="119"/>
      <c r="L383" s="123"/>
      <c r="M383" s="118"/>
      <c r="N383" s="118"/>
    </row>
    <row r="384" spans="1:14" s="128" customFormat="1" ht="15.75" customHeight="1">
      <c r="A384" s="114" t="s">
        <v>368</v>
      </c>
      <c r="B384" s="115"/>
      <c r="C384" s="115">
        <v>134</v>
      </c>
      <c r="D384" s="116" t="s">
        <v>521</v>
      </c>
      <c r="E384" s="115"/>
      <c r="F384" s="115">
        <v>134</v>
      </c>
      <c r="G384" s="117" t="s">
        <v>363</v>
      </c>
      <c r="H384" s="118">
        <f>I384+J384+K384+L384+M384</f>
        <v>0</v>
      </c>
      <c r="I384" s="118"/>
      <c r="J384" s="118"/>
      <c r="K384" s="119"/>
      <c r="L384" s="123"/>
      <c r="M384" s="118"/>
      <c r="N384" s="118"/>
    </row>
    <row r="385" spans="1:14" s="128" customFormat="1" ht="15.75" customHeight="1">
      <c r="A385" s="114" t="s">
        <v>47</v>
      </c>
      <c r="B385" s="115"/>
      <c r="C385" s="115">
        <v>135</v>
      </c>
      <c r="D385" s="116" t="s">
        <v>521</v>
      </c>
      <c r="E385" s="115"/>
      <c r="F385" s="115">
        <v>135</v>
      </c>
      <c r="G385" s="117" t="s">
        <v>363</v>
      </c>
      <c r="H385" s="118">
        <f>I385+J385+K385+L385+M385</f>
        <v>365000</v>
      </c>
      <c r="I385" s="118"/>
      <c r="J385" s="118"/>
      <c r="K385" s="119"/>
      <c r="L385" s="123"/>
      <c r="M385" s="118">
        <v>365000</v>
      </c>
      <c r="N385" s="118"/>
    </row>
    <row r="386" spans="1:14" s="134" customFormat="1" ht="21.75" customHeight="1">
      <c r="A386" s="129" t="s">
        <v>432</v>
      </c>
      <c r="B386" s="130">
        <v>130</v>
      </c>
      <c r="C386" s="130">
        <v>140</v>
      </c>
      <c r="D386" s="116" t="s">
        <v>521</v>
      </c>
      <c r="E386" s="130"/>
      <c r="F386" s="130">
        <v>140</v>
      </c>
      <c r="G386" s="131" t="s">
        <v>363</v>
      </c>
      <c r="H386" s="132">
        <f>M386</f>
        <v>0</v>
      </c>
      <c r="I386" s="130" t="s">
        <v>74</v>
      </c>
      <c r="J386" s="130" t="s">
        <v>74</v>
      </c>
      <c r="K386" s="130" t="s">
        <v>74</v>
      </c>
      <c r="L386" s="130" t="s">
        <v>74</v>
      </c>
      <c r="M386" s="133">
        <f>M388+M389+M390+M391+M392</f>
        <v>0</v>
      </c>
      <c r="N386" s="130" t="s">
        <v>74</v>
      </c>
    </row>
    <row r="387" spans="1:14" s="128" customFormat="1" ht="12.75">
      <c r="A387" s="114" t="s">
        <v>364</v>
      </c>
      <c r="B387" s="115"/>
      <c r="C387" s="115"/>
      <c r="D387" s="116"/>
      <c r="E387" s="115"/>
      <c r="F387" s="115"/>
      <c r="G387" s="122"/>
      <c r="H387" s="118"/>
      <c r="I387" s="122"/>
      <c r="J387" s="115"/>
      <c r="K387" s="119"/>
      <c r="L387" s="123"/>
      <c r="M387" s="118"/>
      <c r="N387" s="123"/>
    </row>
    <row r="388" spans="1:14" s="128" customFormat="1" ht="38.25">
      <c r="A388" s="114" t="s">
        <v>369</v>
      </c>
      <c r="B388" s="115"/>
      <c r="C388" s="115">
        <v>141</v>
      </c>
      <c r="D388" s="116" t="s">
        <v>521</v>
      </c>
      <c r="E388" s="115"/>
      <c r="F388" s="115">
        <v>141</v>
      </c>
      <c r="G388" s="117" t="s">
        <v>363</v>
      </c>
      <c r="H388" s="118">
        <f>I388+J388+K388+L388+M388</f>
        <v>0</v>
      </c>
      <c r="I388" s="122"/>
      <c r="J388" s="115"/>
      <c r="K388" s="119"/>
      <c r="L388" s="123"/>
      <c r="M388" s="118"/>
      <c r="N388" s="123"/>
    </row>
    <row r="389" spans="1:14" s="128" customFormat="1" ht="25.5">
      <c r="A389" s="114" t="s">
        <v>370</v>
      </c>
      <c r="B389" s="115"/>
      <c r="C389" s="115">
        <v>142</v>
      </c>
      <c r="D389" s="116" t="s">
        <v>521</v>
      </c>
      <c r="E389" s="115"/>
      <c r="F389" s="115">
        <v>142</v>
      </c>
      <c r="G389" s="117" t="s">
        <v>363</v>
      </c>
      <c r="H389" s="118">
        <f>I389+J389+K389+L389+M389</f>
        <v>0</v>
      </c>
      <c r="I389" s="122"/>
      <c r="J389" s="115"/>
      <c r="K389" s="119"/>
      <c r="L389" s="123"/>
      <c r="M389" s="118"/>
      <c r="N389" s="123"/>
    </row>
    <row r="390" spans="1:14" s="128" customFormat="1" ht="15" customHeight="1">
      <c r="A390" s="114" t="s">
        <v>371</v>
      </c>
      <c r="B390" s="115"/>
      <c r="C390" s="115">
        <v>143</v>
      </c>
      <c r="D390" s="116" t="s">
        <v>521</v>
      </c>
      <c r="E390" s="115"/>
      <c r="F390" s="115">
        <v>143</v>
      </c>
      <c r="G390" s="117" t="s">
        <v>363</v>
      </c>
      <c r="H390" s="118">
        <f>I390+J390+K390+L390+M390</f>
        <v>0</v>
      </c>
      <c r="I390" s="122"/>
      <c r="J390" s="115"/>
      <c r="K390" s="119"/>
      <c r="L390" s="123"/>
      <c r="M390" s="118"/>
      <c r="N390" s="123"/>
    </row>
    <row r="391" spans="1:14" s="128" customFormat="1" ht="15" customHeight="1">
      <c r="A391" s="114" t="s">
        <v>372</v>
      </c>
      <c r="B391" s="115"/>
      <c r="C391" s="115">
        <v>144</v>
      </c>
      <c r="D391" s="116" t="s">
        <v>521</v>
      </c>
      <c r="E391" s="115"/>
      <c r="F391" s="115">
        <v>144</v>
      </c>
      <c r="G391" s="117" t="s">
        <v>363</v>
      </c>
      <c r="H391" s="118">
        <f>I391+J391+K391+L391+M391</f>
        <v>0</v>
      </c>
      <c r="I391" s="122"/>
      <c r="J391" s="115"/>
      <c r="K391" s="119"/>
      <c r="L391" s="123"/>
      <c r="M391" s="118"/>
      <c r="N391" s="123"/>
    </row>
    <row r="392" spans="1:14" s="128" customFormat="1" ht="23.25" customHeight="1">
      <c r="A392" s="114" t="s">
        <v>373</v>
      </c>
      <c r="B392" s="115"/>
      <c r="C392" s="115">
        <v>145</v>
      </c>
      <c r="D392" s="116" t="s">
        <v>521</v>
      </c>
      <c r="E392" s="115"/>
      <c r="F392" s="115">
        <v>145</v>
      </c>
      <c r="G392" s="117" t="s">
        <v>363</v>
      </c>
      <c r="H392" s="118">
        <f>I392+J392+K392+L392+M392</f>
        <v>0</v>
      </c>
      <c r="I392" s="122"/>
      <c r="J392" s="115"/>
      <c r="K392" s="119"/>
      <c r="L392" s="123"/>
      <c r="M392" s="118"/>
      <c r="N392" s="123"/>
    </row>
    <row r="393" spans="1:14" s="107" customFormat="1" ht="50.25" customHeight="1">
      <c r="A393" s="114" t="s">
        <v>49</v>
      </c>
      <c r="B393" s="115">
        <v>140</v>
      </c>
      <c r="C393" s="115"/>
      <c r="D393" s="116" t="s">
        <v>521</v>
      </c>
      <c r="E393" s="115"/>
      <c r="F393" s="115"/>
      <c r="G393" s="122"/>
      <c r="H393" s="118">
        <f>M393</f>
        <v>0</v>
      </c>
      <c r="I393" s="109" t="s">
        <v>74</v>
      </c>
      <c r="J393" s="109" t="s">
        <v>74</v>
      </c>
      <c r="K393" s="109" t="s">
        <v>74</v>
      </c>
      <c r="L393" s="109" t="s">
        <v>74</v>
      </c>
      <c r="M393" s="109"/>
      <c r="N393" s="109" t="s">
        <v>74</v>
      </c>
    </row>
    <row r="394" spans="1:14" s="107" customFormat="1" ht="31.5" customHeight="1">
      <c r="A394" s="114" t="s">
        <v>167</v>
      </c>
      <c r="B394" s="115">
        <v>150</v>
      </c>
      <c r="C394" s="115">
        <v>150</v>
      </c>
      <c r="D394" s="115">
        <v>901000000</v>
      </c>
      <c r="E394" s="115"/>
      <c r="F394" s="115">
        <v>150</v>
      </c>
      <c r="G394" s="122"/>
      <c r="H394" s="118">
        <f>J394+K394</f>
        <v>0</v>
      </c>
      <c r="I394" s="109" t="s">
        <v>74</v>
      </c>
      <c r="J394" s="135">
        <f>SUM(J395:J400)</f>
        <v>0</v>
      </c>
      <c r="K394" s="109">
        <f>K395</f>
        <v>0</v>
      </c>
      <c r="L394" s="109" t="s">
        <v>74</v>
      </c>
      <c r="M394" s="109" t="s">
        <v>74</v>
      </c>
      <c r="N394" s="109" t="s">
        <v>74</v>
      </c>
    </row>
    <row r="395" spans="1:14" s="107" customFormat="1" ht="31.5" customHeight="1">
      <c r="A395" s="114" t="s">
        <v>167</v>
      </c>
      <c r="B395" s="115">
        <v>150</v>
      </c>
      <c r="C395" s="115">
        <v>152</v>
      </c>
      <c r="D395" s="115">
        <v>901480000</v>
      </c>
      <c r="E395" s="115"/>
      <c r="F395" s="115">
        <v>152</v>
      </c>
      <c r="G395" s="122" t="s">
        <v>526</v>
      </c>
      <c r="H395" s="118">
        <f>J395+K395</f>
        <v>0</v>
      </c>
      <c r="I395" s="109"/>
      <c r="J395" s="125">
        <v>0</v>
      </c>
      <c r="K395" s="112"/>
      <c r="L395" s="109" t="s">
        <v>74</v>
      </c>
      <c r="M395" s="109" t="s">
        <v>74</v>
      </c>
      <c r="N395" s="109" t="s">
        <v>74</v>
      </c>
    </row>
    <row r="396" spans="1:14" s="107" customFormat="1" ht="31.5" customHeight="1">
      <c r="A396" s="114" t="s">
        <v>167</v>
      </c>
      <c r="B396" s="115">
        <v>150</v>
      </c>
      <c r="C396" s="115">
        <v>152</v>
      </c>
      <c r="D396" s="115">
        <v>901160000</v>
      </c>
      <c r="E396" s="115"/>
      <c r="F396" s="115">
        <v>152</v>
      </c>
      <c r="G396" s="122" t="s">
        <v>526</v>
      </c>
      <c r="H396" s="118">
        <f aca="true" t="shared" si="33" ref="H396:H401">J396+K396</f>
        <v>0</v>
      </c>
      <c r="I396" s="109"/>
      <c r="J396" s="125">
        <v>0</v>
      </c>
      <c r="K396" s="112"/>
      <c r="L396" s="109" t="s">
        <v>74</v>
      </c>
      <c r="M396" s="109" t="s">
        <v>74</v>
      </c>
      <c r="N396" s="109" t="s">
        <v>74</v>
      </c>
    </row>
    <row r="397" spans="1:14" s="107" customFormat="1" ht="31.5" customHeight="1">
      <c r="A397" s="114" t="s">
        <v>167</v>
      </c>
      <c r="B397" s="115">
        <v>150</v>
      </c>
      <c r="C397" s="115">
        <v>152</v>
      </c>
      <c r="D397" s="115">
        <v>901830000</v>
      </c>
      <c r="E397" s="115"/>
      <c r="F397" s="115">
        <v>152</v>
      </c>
      <c r="G397" s="122" t="s">
        <v>526</v>
      </c>
      <c r="H397" s="118">
        <f t="shared" si="33"/>
        <v>0</v>
      </c>
      <c r="I397" s="109"/>
      <c r="J397" s="125">
        <v>0</v>
      </c>
      <c r="K397" s="112"/>
      <c r="L397" s="109" t="s">
        <v>74</v>
      </c>
      <c r="M397" s="109" t="s">
        <v>74</v>
      </c>
      <c r="N397" s="109" t="s">
        <v>74</v>
      </c>
    </row>
    <row r="398" spans="1:14" s="107" customFormat="1" ht="31.5" customHeight="1">
      <c r="A398" s="114" t="s">
        <v>167</v>
      </c>
      <c r="B398" s="115">
        <v>150</v>
      </c>
      <c r="C398" s="115">
        <v>152</v>
      </c>
      <c r="D398" s="115">
        <v>901210000</v>
      </c>
      <c r="E398" s="115"/>
      <c r="F398" s="115">
        <v>152</v>
      </c>
      <c r="G398" s="117" t="s">
        <v>528</v>
      </c>
      <c r="H398" s="118">
        <f t="shared" si="33"/>
        <v>0</v>
      </c>
      <c r="I398" s="109"/>
      <c r="J398" s="125">
        <v>0</v>
      </c>
      <c r="K398" s="112"/>
      <c r="L398" s="109" t="s">
        <v>74</v>
      </c>
      <c r="M398" s="109" t="s">
        <v>74</v>
      </c>
      <c r="N398" s="109" t="s">
        <v>74</v>
      </c>
    </row>
    <row r="399" spans="1:14" s="107" customFormat="1" ht="31.5" customHeight="1">
      <c r="A399" s="114" t="s">
        <v>167</v>
      </c>
      <c r="B399" s="115">
        <v>150</v>
      </c>
      <c r="C399" s="115">
        <v>152</v>
      </c>
      <c r="D399" s="115">
        <v>901150000</v>
      </c>
      <c r="E399" s="115"/>
      <c r="F399" s="115">
        <v>152</v>
      </c>
      <c r="G399" s="122" t="s">
        <v>526</v>
      </c>
      <c r="H399" s="118">
        <f t="shared" si="33"/>
        <v>0</v>
      </c>
      <c r="I399" s="109"/>
      <c r="J399" s="125">
        <v>0</v>
      </c>
      <c r="K399" s="112"/>
      <c r="L399" s="109" t="s">
        <v>74</v>
      </c>
      <c r="M399" s="109" t="s">
        <v>74</v>
      </c>
      <c r="N399" s="109" t="s">
        <v>74</v>
      </c>
    </row>
    <row r="400" spans="1:14" s="107" customFormat="1" ht="31.5" customHeight="1">
      <c r="A400" s="114" t="s">
        <v>167</v>
      </c>
      <c r="B400" s="115">
        <v>150</v>
      </c>
      <c r="C400" s="115">
        <v>152</v>
      </c>
      <c r="D400" s="115">
        <v>901140000</v>
      </c>
      <c r="E400" s="115"/>
      <c r="F400" s="115">
        <v>152</v>
      </c>
      <c r="G400" s="122" t="s">
        <v>526</v>
      </c>
      <c r="H400" s="118">
        <f t="shared" si="33"/>
        <v>0</v>
      </c>
      <c r="I400" s="109"/>
      <c r="J400" s="125">
        <v>0</v>
      </c>
      <c r="K400" s="112"/>
      <c r="L400" s="109" t="s">
        <v>74</v>
      </c>
      <c r="M400" s="109" t="s">
        <v>74</v>
      </c>
      <c r="N400" s="109" t="s">
        <v>74</v>
      </c>
    </row>
    <row r="401" spans="1:14" s="107" customFormat="1" ht="31.5" customHeight="1">
      <c r="A401" s="114" t="s">
        <v>167</v>
      </c>
      <c r="B401" s="115">
        <v>150</v>
      </c>
      <c r="C401" s="115">
        <v>152</v>
      </c>
      <c r="D401" s="115">
        <v>901750000</v>
      </c>
      <c r="E401" s="115"/>
      <c r="F401" s="115">
        <v>152</v>
      </c>
      <c r="G401" s="122" t="s">
        <v>534</v>
      </c>
      <c r="H401" s="118">
        <f t="shared" si="33"/>
        <v>0</v>
      </c>
      <c r="I401" s="109"/>
      <c r="J401" s="125">
        <v>0</v>
      </c>
      <c r="K401" s="112"/>
      <c r="L401" s="109"/>
      <c r="M401" s="110"/>
      <c r="N401" s="110"/>
    </row>
    <row r="402" spans="1:14" s="128" customFormat="1" ht="18" customHeight="1">
      <c r="A402" s="114" t="s">
        <v>210</v>
      </c>
      <c r="B402" s="115">
        <v>160</v>
      </c>
      <c r="C402" s="115">
        <v>180</v>
      </c>
      <c r="D402" s="116" t="s">
        <v>521</v>
      </c>
      <c r="E402" s="115"/>
      <c r="F402" s="115">
        <v>180</v>
      </c>
      <c r="G402" s="117" t="s">
        <v>363</v>
      </c>
      <c r="H402" s="118">
        <f aca="true" t="shared" si="34" ref="H402:H408">M402</f>
        <v>0</v>
      </c>
      <c r="I402" s="115" t="s">
        <v>74</v>
      </c>
      <c r="J402" s="115" t="s">
        <v>74</v>
      </c>
      <c r="K402" s="115" t="s">
        <v>74</v>
      </c>
      <c r="L402" s="115" t="s">
        <v>74</v>
      </c>
      <c r="M402" s="118">
        <f>M403+M404</f>
        <v>0</v>
      </c>
      <c r="N402" s="118">
        <f>N403+N404</f>
        <v>0</v>
      </c>
    </row>
    <row r="403" spans="1:14" s="128" customFormat="1" ht="15" customHeight="1">
      <c r="A403" s="136" t="s">
        <v>133</v>
      </c>
      <c r="B403" s="115"/>
      <c r="C403" s="115">
        <v>189</v>
      </c>
      <c r="D403" s="116" t="s">
        <v>521</v>
      </c>
      <c r="E403" s="115"/>
      <c r="F403" s="115">
        <v>189</v>
      </c>
      <c r="G403" s="117" t="s">
        <v>363</v>
      </c>
      <c r="H403" s="118">
        <f t="shared" si="34"/>
        <v>0</v>
      </c>
      <c r="I403" s="118"/>
      <c r="J403" s="118"/>
      <c r="K403" s="119"/>
      <c r="L403" s="123"/>
      <c r="M403" s="118"/>
      <c r="N403" s="118"/>
    </row>
    <row r="404" spans="1:14" s="128" customFormat="1" ht="15" customHeight="1">
      <c r="A404" s="136" t="s">
        <v>134</v>
      </c>
      <c r="B404" s="115"/>
      <c r="C404" s="115">
        <v>189</v>
      </c>
      <c r="D404" s="116" t="s">
        <v>521</v>
      </c>
      <c r="E404" s="115"/>
      <c r="F404" s="115">
        <v>189</v>
      </c>
      <c r="G404" s="117" t="s">
        <v>363</v>
      </c>
      <c r="H404" s="118">
        <f t="shared" si="34"/>
        <v>0</v>
      </c>
      <c r="I404" s="118"/>
      <c r="J404" s="118"/>
      <c r="K404" s="119"/>
      <c r="L404" s="123"/>
      <c r="M404" s="118"/>
      <c r="N404" s="118"/>
    </row>
    <row r="405" spans="1:14" s="128" customFormat="1" ht="23.25" customHeight="1">
      <c r="A405" s="114" t="s">
        <v>211</v>
      </c>
      <c r="B405" s="115">
        <v>180</v>
      </c>
      <c r="C405" s="115">
        <v>400</v>
      </c>
      <c r="D405" s="116" t="s">
        <v>521</v>
      </c>
      <c r="E405" s="115" t="s">
        <v>74</v>
      </c>
      <c r="F405" s="115">
        <v>400</v>
      </c>
      <c r="G405" s="117" t="s">
        <v>363</v>
      </c>
      <c r="H405" s="118">
        <f t="shared" si="34"/>
        <v>0</v>
      </c>
      <c r="I405" s="115" t="s">
        <v>74</v>
      </c>
      <c r="J405" s="115" t="s">
        <v>74</v>
      </c>
      <c r="K405" s="115" t="s">
        <v>74</v>
      </c>
      <c r="L405" s="115" t="s">
        <v>74</v>
      </c>
      <c r="M405" s="118">
        <f>M406+M407+M408+M410+M409</f>
        <v>0</v>
      </c>
      <c r="N405" s="115" t="s">
        <v>74</v>
      </c>
    </row>
    <row r="406" spans="1:14" s="128" customFormat="1" ht="23.25" customHeight="1">
      <c r="A406" s="137" t="s">
        <v>374</v>
      </c>
      <c r="B406" s="115"/>
      <c r="C406" s="115">
        <v>410</v>
      </c>
      <c r="D406" s="116" t="s">
        <v>521</v>
      </c>
      <c r="E406" s="115"/>
      <c r="F406" s="115">
        <v>410</v>
      </c>
      <c r="G406" s="117" t="s">
        <v>363</v>
      </c>
      <c r="H406" s="118">
        <f t="shared" si="34"/>
        <v>0</v>
      </c>
      <c r="I406" s="118"/>
      <c r="J406" s="118"/>
      <c r="K406" s="119"/>
      <c r="L406" s="123"/>
      <c r="M406" s="118"/>
      <c r="N406" s="118"/>
    </row>
    <row r="407" spans="1:14" s="128" customFormat="1" ht="23.25" customHeight="1">
      <c r="A407" s="137" t="s">
        <v>375</v>
      </c>
      <c r="B407" s="115"/>
      <c r="C407" s="115">
        <v>420</v>
      </c>
      <c r="D407" s="116" t="s">
        <v>521</v>
      </c>
      <c r="E407" s="115"/>
      <c r="F407" s="115">
        <v>420</v>
      </c>
      <c r="G407" s="117" t="s">
        <v>363</v>
      </c>
      <c r="H407" s="118">
        <f t="shared" si="34"/>
        <v>0</v>
      </c>
      <c r="I407" s="118"/>
      <c r="J407" s="118"/>
      <c r="K407" s="119"/>
      <c r="L407" s="123"/>
      <c r="M407" s="118"/>
      <c r="N407" s="118"/>
    </row>
    <row r="408" spans="1:14" s="128" customFormat="1" ht="23.25" customHeight="1">
      <c r="A408" s="137" t="s">
        <v>376</v>
      </c>
      <c r="B408" s="115"/>
      <c r="C408" s="115">
        <v>430</v>
      </c>
      <c r="D408" s="116" t="s">
        <v>521</v>
      </c>
      <c r="E408" s="115"/>
      <c r="F408" s="115">
        <v>430</v>
      </c>
      <c r="G408" s="117" t="s">
        <v>363</v>
      </c>
      <c r="H408" s="118">
        <f t="shared" si="34"/>
        <v>0</v>
      </c>
      <c r="I408" s="118"/>
      <c r="J408" s="118"/>
      <c r="K408" s="119"/>
      <c r="L408" s="123"/>
      <c r="M408" s="118"/>
      <c r="N408" s="118"/>
    </row>
    <row r="409" spans="1:14" s="121" customFormat="1" ht="23.25" customHeight="1">
      <c r="A409" s="137" t="s">
        <v>425</v>
      </c>
      <c r="B409" s="115"/>
      <c r="C409" s="115">
        <v>440</v>
      </c>
      <c r="D409" s="116" t="s">
        <v>521</v>
      </c>
      <c r="E409" s="115"/>
      <c r="F409" s="115">
        <v>440</v>
      </c>
      <c r="G409" s="117" t="s">
        <v>363</v>
      </c>
      <c r="H409" s="118">
        <f>M409</f>
        <v>0</v>
      </c>
      <c r="I409" s="118"/>
      <c r="J409" s="118"/>
      <c r="K409" s="119"/>
      <c r="L409" s="123"/>
      <c r="M409" s="118"/>
      <c r="N409" s="118"/>
    </row>
    <row r="410" spans="1:14" s="128" customFormat="1" ht="23.25" customHeight="1">
      <c r="A410" s="137" t="s">
        <v>377</v>
      </c>
      <c r="B410" s="115"/>
      <c r="C410" s="115">
        <v>450</v>
      </c>
      <c r="D410" s="116" t="s">
        <v>521</v>
      </c>
      <c r="E410" s="115"/>
      <c r="F410" s="115">
        <v>450</v>
      </c>
      <c r="G410" s="117" t="s">
        <v>363</v>
      </c>
      <c r="H410" s="118">
        <f>M410</f>
        <v>0</v>
      </c>
      <c r="I410" s="118"/>
      <c r="J410" s="118"/>
      <c r="K410" s="119"/>
      <c r="L410" s="123"/>
      <c r="M410" s="118"/>
      <c r="N410" s="118"/>
    </row>
    <row r="411" spans="1:14" s="8" customFormat="1" ht="11.25" customHeight="1">
      <c r="A411" s="138" t="s">
        <v>44</v>
      </c>
      <c r="B411" s="139">
        <v>200</v>
      </c>
      <c r="C411" s="139"/>
      <c r="D411" s="139"/>
      <c r="E411" s="139"/>
      <c r="F411" s="140"/>
      <c r="G411" s="140"/>
      <c r="H411" s="141">
        <f aca="true" t="shared" si="35" ref="H411:N411">H413+H429+H436+H450+H451+H455</f>
        <v>38575022.099999994</v>
      </c>
      <c r="I411" s="141">
        <f t="shared" si="35"/>
        <v>31789495.74</v>
      </c>
      <c r="J411" s="141">
        <f t="shared" si="35"/>
        <v>0</v>
      </c>
      <c r="K411" s="141">
        <f t="shared" si="35"/>
        <v>0</v>
      </c>
      <c r="L411" s="141">
        <f t="shared" si="35"/>
        <v>0</v>
      </c>
      <c r="M411" s="141">
        <f t="shared" si="35"/>
        <v>6785526.359999999</v>
      </c>
      <c r="N411" s="141">
        <f t="shared" si="35"/>
        <v>0</v>
      </c>
    </row>
    <row r="412" spans="1:14" s="8" customFormat="1" ht="13.5" customHeight="1">
      <c r="A412" s="142" t="s">
        <v>4</v>
      </c>
      <c r="B412" s="109"/>
      <c r="C412" s="109"/>
      <c r="D412" s="109"/>
      <c r="E412" s="109"/>
      <c r="F412" s="109"/>
      <c r="G412" s="110"/>
      <c r="H412" s="125"/>
      <c r="I412" s="125"/>
      <c r="J412" s="125"/>
      <c r="K412" s="113"/>
      <c r="L412" s="113"/>
      <c r="M412" s="113"/>
      <c r="N412" s="113"/>
    </row>
    <row r="413" spans="1:14" s="8" customFormat="1" ht="13.5" customHeight="1">
      <c r="A413" s="142" t="s">
        <v>296</v>
      </c>
      <c r="B413" s="109">
        <v>210</v>
      </c>
      <c r="C413" s="109"/>
      <c r="D413" s="109"/>
      <c r="E413" s="109"/>
      <c r="F413" s="109"/>
      <c r="G413" s="110"/>
      <c r="H413" s="125">
        <f>H415</f>
        <v>26108364.359999996</v>
      </c>
      <c r="I413" s="125">
        <f aca="true" t="shared" si="36" ref="I413:N413">I415</f>
        <v>23336871.099999998</v>
      </c>
      <c r="J413" s="125">
        <f t="shared" si="36"/>
        <v>0</v>
      </c>
      <c r="K413" s="125">
        <f t="shared" si="36"/>
        <v>0</v>
      </c>
      <c r="L413" s="125">
        <f t="shared" si="36"/>
        <v>0</v>
      </c>
      <c r="M413" s="125">
        <f t="shared" si="36"/>
        <v>2771493.26</v>
      </c>
      <c r="N413" s="125">
        <f t="shared" si="36"/>
        <v>0</v>
      </c>
    </row>
    <row r="414" spans="1:14" s="8" customFormat="1" ht="13.5" customHeight="1">
      <c r="A414" s="143" t="s">
        <v>3</v>
      </c>
      <c r="B414" s="115"/>
      <c r="C414" s="115"/>
      <c r="D414" s="115"/>
      <c r="E414" s="115"/>
      <c r="F414" s="115"/>
      <c r="G414" s="122"/>
      <c r="H414" s="118"/>
      <c r="I414" s="125"/>
      <c r="J414" s="125"/>
      <c r="K414" s="113"/>
      <c r="L414" s="113"/>
      <c r="M414" s="113"/>
      <c r="N414" s="113"/>
    </row>
    <row r="415" spans="1:14" s="8" customFormat="1" ht="25.5" customHeight="1">
      <c r="A415" s="143" t="s">
        <v>297</v>
      </c>
      <c r="B415" s="115">
        <v>211</v>
      </c>
      <c r="C415" s="115"/>
      <c r="D415" s="115"/>
      <c r="E415" s="115"/>
      <c r="F415" s="115"/>
      <c r="G415" s="122"/>
      <c r="H415" s="118">
        <f>SUM(H417:H428)</f>
        <v>26108364.359999996</v>
      </c>
      <c r="I415" s="125">
        <f>I417+I422+I423+I424</f>
        <v>23336871.099999998</v>
      </c>
      <c r="J415" s="125">
        <f>SUM(J417:J427)</f>
        <v>0</v>
      </c>
      <c r="K415" s="125">
        <f>K417+K422+K423+K424</f>
        <v>0</v>
      </c>
      <c r="L415" s="125">
        <f>L417+L422+L423+L424</f>
        <v>0</v>
      </c>
      <c r="M415" s="125">
        <f>SUM(M417:M428)</f>
        <v>2771493.26</v>
      </c>
      <c r="N415" s="125">
        <f>N417+N422+N423+N424</f>
        <v>0</v>
      </c>
    </row>
    <row r="416" spans="1:14" s="8" customFormat="1" ht="16.5" customHeight="1">
      <c r="A416" s="143" t="s">
        <v>4</v>
      </c>
      <c r="B416" s="115"/>
      <c r="C416" s="115"/>
      <c r="D416" s="115"/>
      <c r="E416" s="115"/>
      <c r="F416" s="115"/>
      <c r="G416" s="122"/>
      <c r="H416" s="118"/>
      <c r="I416" s="125"/>
      <c r="J416" s="125"/>
      <c r="K416" s="113"/>
      <c r="L416" s="113"/>
      <c r="M416" s="113"/>
      <c r="N416" s="113"/>
    </row>
    <row r="417" spans="1:14" s="8" customFormat="1" ht="16.5" customHeight="1">
      <c r="A417" s="143" t="s">
        <v>298</v>
      </c>
      <c r="B417" s="115"/>
      <c r="C417" s="115">
        <v>211</v>
      </c>
      <c r="D417" s="115">
        <v>800000000</v>
      </c>
      <c r="E417" s="115">
        <v>111</v>
      </c>
      <c r="F417" s="115">
        <v>211</v>
      </c>
      <c r="G417" s="102" t="s">
        <v>523</v>
      </c>
      <c r="H417" s="118">
        <f>I417+J417+K417+L417+M417+N417</f>
        <v>17923864.13</v>
      </c>
      <c r="I417" s="125">
        <v>17923864.13</v>
      </c>
      <c r="J417" s="125"/>
      <c r="K417" s="113"/>
      <c r="L417" s="113"/>
      <c r="M417" s="113"/>
      <c r="N417" s="113"/>
    </row>
    <row r="418" spans="1:14" s="8" customFormat="1" ht="16.5" customHeight="1">
      <c r="A418" s="143" t="s">
        <v>298</v>
      </c>
      <c r="B418" s="115"/>
      <c r="C418" s="115">
        <v>211</v>
      </c>
      <c r="D418" s="115">
        <v>901480000</v>
      </c>
      <c r="E418" s="115">
        <v>111</v>
      </c>
      <c r="F418" s="115">
        <v>211</v>
      </c>
      <c r="G418" s="102" t="s">
        <v>523</v>
      </c>
      <c r="H418" s="118">
        <f>SUM(I418:J418)</f>
        <v>0</v>
      </c>
      <c r="I418" s="125"/>
      <c r="J418" s="125">
        <v>0</v>
      </c>
      <c r="K418" s="113"/>
      <c r="L418" s="113"/>
      <c r="M418" s="113"/>
      <c r="N418" s="113"/>
    </row>
    <row r="419" spans="1:14" s="8" customFormat="1" ht="16.5" customHeight="1">
      <c r="A419" s="143" t="s">
        <v>298</v>
      </c>
      <c r="B419" s="115"/>
      <c r="C419" s="115">
        <v>211</v>
      </c>
      <c r="D419" s="115">
        <v>901160000</v>
      </c>
      <c r="E419" s="115">
        <v>111</v>
      </c>
      <c r="F419" s="115">
        <v>211</v>
      </c>
      <c r="G419" s="102" t="s">
        <v>523</v>
      </c>
      <c r="H419" s="118">
        <f>SUM(I419:J419)</f>
        <v>0</v>
      </c>
      <c r="I419" s="125"/>
      <c r="J419" s="125">
        <v>0</v>
      </c>
      <c r="K419" s="113"/>
      <c r="L419" s="113"/>
      <c r="M419" s="113"/>
      <c r="N419" s="113"/>
    </row>
    <row r="420" spans="1:14" s="8" customFormat="1" ht="16.5" customHeight="1">
      <c r="A420" s="143" t="s">
        <v>298</v>
      </c>
      <c r="B420" s="115"/>
      <c r="C420" s="115">
        <v>211</v>
      </c>
      <c r="D420" s="115">
        <v>901830000</v>
      </c>
      <c r="E420" s="115">
        <v>111</v>
      </c>
      <c r="F420" s="115">
        <v>211</v>
      </c>
      <c r="G420" s="102" t="s">
        <v>523</v>
      </c>
      <c r="H420" s="118">
        <f>SUM(I420:J420)</f>
        <v>0</v>
      </c>
      <c r="I420" s="125"/>
      <c r="J420" s="125">
        <v>0</v>
      </c>
      <c r="K420" s="113"/>
      <c r="L420" s="113"/>
      <c r="M420" s="113"/>
      <c r="N420" s="113"/>
    </row>
    <row r="421" spans="1:14" s="8" customFormat="1" ht="16.5" customHeight="1">
      <c r="A421" s="143" t="s">
        <v>298</v>
      </c>
      <c r="B421" s="115"/>
      <c r="C421" s="115">
        <v>211</v>
      </c>
      <c r="D421" s="116" t="s">
        <v>521</v>
      </c>
      <c r="E421" s="115">
        <v>111</v>
      </c>
      <c r="F421" s="115">
        <v>211</v>
      </c>
      <c r="G421" s="102" t="s">
        <v>530</v>
      </c>
      <c r="H421" s="118">
        <f>SUM(I421:M421)</f>
        <v>2128645.86</v>
      </c>
      <c r="I421" s="125"/>
      <c r="J421" s="125"/>
      <c r="K421" s="113"/>
      <c r="L421" s="113"/>
      <c r="M421" s="113">
        <v>2128645.86</v>
      </c>
      <c r="N421" s="113"/>
    </row>
    <row r="422" spans="1:14" s="8" customFormat="1" ht="16.5" customHeight="1">
      <c r="A422" s="143" t="s">
        <v>299</v>
      </c>
      <c r="B422" s="115"/>
      <c r="C422" s="115">
        <v>211</v>
      </c>
      <c r="D422" s="115"/>
      <c r="E422" s="115">
        <v>111</v>
      </c>
      <c r="F422" s="115">
        <v>211</v>
      </c>
      <c r="G422" s="122"/>
      <c r="H422" s="118">
        <f>I422+J422+K422+L422+M422+N422</f>
        <v>0</v>
      </c>
      <c r="I422" s="125"/>
      <c r="J422" s="125"/>
      <c r="K422" s="113"/>
      <c r="L422" s="113"/>
      <c r="M422" s="113"/>
      <c r="N422" s="113"/>
    </row>
    <row r="423" spans="1:14" s="8" customFormat="1" ht="54" customHeight="1">
      <c r="A423" s="143" t="s">
        <v>300</v>
      </c>
      <c r="B423" s="115"/>
      <c r="C423" s="115">
        <v>212</v>
      </c>
      <c r="D423" s="115"/>
      <c r="E423" s="115">
        <v>262</v>
      </c>
      <c r="F423" s="115">
        <v>212</v>
      </c>
      <c r="G423" s="122"/>
      <c r="H423" s="118">
        <f>I423+J423+K423+L423+M423+N423</f>
        <v>0</v>
      </c>
      <c r="I423" s="125"/>
      <c r="J423" s="125">
        <v>0</v>
      </c>
      <c r="K423" s="113"/>
      <c r="L423" s="113"/>
      <c r="M423" s="113"/>
      <c r="N423" s="113"/>
    </row>
    <row r="424" spans="1:14" s="8" customFormat="1" ht="15.75" customHeight="1">
      <c r="A424" s="143" t="s">
        <v>301</v>
      </c>
      <c r="B424" s="115"/>
      <c r="C424" s="115">
        <v>213</v>
      </c>
      <c r="D424" s="115">
        <v>800000000</v>
      </c>
      <c r="E424" s="115">
        <v>119</v>
      </c>
      <c r="F424" s="115">
        <v>213</v>
      </c>
      <c r="G424" s="102" t="s">
        <v>523</v>
      </c>
      <c r="H424" s="118">
        <f>I424+J424+K424+L424+M424+N424</f>
        <v>5413006.97</v>
      </c>
      <c r="I424" s="125">
        <v>5413006.97</v>
      </c>
      <c r="J424" s="125"/>
      <c r="K424" s="113"/>
      <c r="L424" s="113"/>
      <c r="M424" s="113"/>
      <c r="N424" s="113"/>
    </row>
    <row r="425" spans="1:14" s="8" customFormat="1" ht="15.75" customHeight="1">
      <c r="A425" s="143" t="s">
        <v>301</v>
      </c>
      <c r="B425" s="115"/>
      <c r="C425" s="115">
        <v>213</v>
      </c>
      <c r="D425" s="115">
        <v>901480000</v>
      </c>
      <c r="E425" s="115">
        <v>119</v>
      </c>
      <c r="F425" s="115">
        <v>213</v>
      </c>
      <c r="G425" s="102" t="s">
        <v>523</v>
      </c>
      <c r="H425" s="118">
        <f>SUM(I425:J425)</f>
        <v>0</v>
      </c>
      <c r="I425" s="125"/>
      <c r="J425" s="125">
        <v>0</v>
      </c>
      <c r="K425" s="113"/>
      <c r="L425" s="113"/>
      <c r="M425" s="113"/>
      <c r="N425" s="113"/>
    </row>
    <row r="426" spans="1:14" s="8" customFormat="1" ht="15.75" customHeight="1">
      <c r="A426" s="143" t="s">
        <v>301</v>
      </c>
      <c r="B426" s="115"/>
      <c r="C426" s="115">
        <v>213</v>
      </c>
      <c r="D426" s="115">
        <v>901160000</v>
      </c>
      <c r="E426" s="115">
        <v>119</v>
      </c>
      <c r="F426" s="115">
        <v>213</v>
      </c>
      <c r="G426" s="102" t="s">
        <v>523</v>
      </c>
      <c r="H426" s="118">
        <f>SUM(I426:J426)</f>
        <v>0</v>
      </c>
      <c r="I426" s="125"/>
      <c r="J426" s="125">
        <v>0</v>
      </c>
      <c r="K426" s="113"/>
      <c r="L426" s="113"/>
      <c r="M426" s="113"/>
      <c r="N426" s="113"/>
    </row>
    <row r="427" spans="1:14" s="8" customFormat="1" ht="15.75" customHeight="1">
      <c r="A427" s="143" t="s">
        <v>301</v>
      </c>
      <c r="B427" s="115"/>
      <c r="C427" s="115">
        <v>213</v>
      </c>
      <c r="D427" s="115">
        <v>901830000</v>
      </c>
      <c r="E427" s="115">
        <v>119</v>
      </c>
      <c r="F427" s="115">
        <v>213</v>
      </c>
      <c r="G427" s="102" t="s">
        <v>523</v>
      </c>
      <c r="H427" s="118">
        <f>SUM(I427:J427)</f>
        <v>0</v>
      </c>
      <c r="I427" s="125"/>
      <c r="J427" s="125">
        <v>0</v>
      </c>
      <c r="K427" s="113"/>
      <c r="L427" s="113"/>
      <c r="M427" s="113"/>
      <c r="N427" s="113"/>
    </row>
    <row r="428" spans="1:14" s="8" customFormat="1" ht="15.75" customHeight="1">
      <c r="A428" s="143" t="s">
        <v>301</v>
      </c>
      <c r="B428" s="115"/>
      <c r="C428" s="115">
        <v>213</v>
      </c>
      <c r="D428" s="116" t="s">
        <v>521</v>
      </c>
      <c r="E428" s="115">
        <v>119</v>
      </c>
      <c r="F428" s="115">
        <v>213</v>
      </c>
      <c r="G428" s="102" t="s">
        <v>530</v>
      </c>
      <c r="H428" s="118">
        <f>SUM(I428:M428)</f>
        <v>642847.4</v>
      </c>
      <c r="I428" s="125"/>
      <c r="J428" s="125"/>
      <c r="K428" s="113"/>
      <c r="L428" s="113"/>
      <c r="M428" s="113">
        <v>642847.4</v>
      </c>
      <c r="N428" s="113"/>
    </row>
    <row r="429" spans="1:14" s="8" customFormat="1" ht="18.75" customHeight="1">
      <c r="A429" s="143" t="s">
        <v>399</v>
      </c>
      <c r="B429" s="115">
        <v>220</v>
      </c>
      <c r="C429" s="115"/>
      <c r="D429" s="115"/>
      <c r="E429" s="115"/>
      <c r="F429" s="115"/>
      <c r="G429" s="115"/>
      <c r="H429" s="120">
        <f>SUM(I429:M429)</f>
        <v>0</v>
      </c>
      <c r="I429" s="113">
        <f>I431+I432+I433+I434+I435</f>
        <v>0</v>
      </c>
      <c r="J429" s="113">
        <f>SUM(J431:J433)</f>
        <v>0</v>
      </c>
      <c r="K429" s="113">
        <f>K431+K432+K433+K434+K435</f>
        <v>0</v>
      </c>
      <c r="L429" s="113">
        <f>L431+L432+L433+L434+L435</f>
        <v>0</v>
      </c>
      <c r="M429" s="113">
        <f>M431+M432+M433+M434+M435</f>
        <v>0</v>
      </c>
      <c r="N429" s="113">
        <f>N431+N432+N433+N434+N435</f>
        <v>0</v>
      </c>
    </row>
    <row r="430" spans="1:14" s="8" customFormat="1" ht="15.75" customHeight="1">
      <c r="A430" s="143" t="s">
        <v>3</v>
      </c>
      <c r="B430" s="115"/>
      <c r="C430" s="115"/>
      <c r="D430" s="115"/>
      <c r="E430" s="115"/>
      <c r="F430" s="115"/>
      <c r="G430" s="122"/>
      <c r="H430" s="118"/>
      <c r="I430" s="125"/>
      <c r="J430" s="125"/>
      <c r="K430" s="113"/>
      <c r="L430" s="113"/>
      <c r="M430" s="113"/>
      <c r="N430" s="113"/>
    </row>
    <row r="431" spans="1:14" s="8" customFormat="1" ht="39" customHeight="1">
      <c r="A431" s="144" t="s">
        <v>302</v>
      </c>
      <c r="B431" s="145"/>
      <c r="C431" s="146">
        <v>263</v>
      </c>
      <c r="D431" s="115">
        <v>901140000</v>
      </c>
      <c r="E431" s="115">
        <v>323</v>
      </c>
      <c r="F431" s="146">
        <v>263</v>
      </c>
      <c r="G431" s="147" t="s">
        <v>523</v>
      </c>
      <c r="H431" s="118">
        <f>I431+J431+K431+L431+M431+N431</f>
        <v>0</v>
      </c>
      <c r="I431" s="125"/>
      <c r="J431" s="125">
        <v>0</v>
      </c>
      <c r="K431" s="113"/>
      <c r="L431" s="113"/>
      <c r="M431" s="113"/>
      <c r="N431" s="113"/>
    </row>
    <row r="432" spans="1:14" s="8" customFormat="1" ht="33.75" customHeight="1">
      <c r="A432" s="137" t="s">
        <v>39</v>
      </c>
      <c r="B432" s="115"/>
      <c r="C432" s="115">
        <v>262</v>
      </c>
      <c r="D432" s="115">
        <v>901140000</v>
      </c>
      <c r="E432" s="115">
        <v>321</v>
      </c>
      <c r="F432" s="115">
        <v>262</v>
      </c>
      <c r="G432" s="147" t="s">
        <v>523</v>
      </c>
      <c r="H432" s="118">
        <f>I432+J432+K432+L432+M432+N432</f>
        <v>0</v>
      </c>
      <c r="I432" s="125"/>
      <c r="J432" s="125">
        <v>0</v>
      </c>
      <c r="K432" s="113"/>
      <c r="L432" s="113"/>
      <c r="M432" s="113"/>
      <c r="N432" s="113"/>
    </row>
    <row r="433" spans="1:14" s="8" customFormat="1" ht="15.75" customHeight="1">
      <c r="A433" s="137" t="s">
        <v>303</v>
      </c>
      <c r="B433" s="115"/>
      <c r="C433" s="115"/>
      <c r="D433" s="115"/>
      <c r="E433" s="115"/>
      <c r="F433" s="115"/>
      <c r="G433" s="122"/>
      <c r="H433" s="118">
        <f>I433+J433+K433+L433+M433+N433</f>
        <v>0</v>
      </c>
      <c r="I433" s="125"/>
      <c r="J433" s="125"/>
      <c r="K433" s="113"/>
      <c r="L433" s="113"/>
      <c r="M433" s="113"/>
      <c r="N433" s="113"/>
    </row>
    <row r="434" spans="1:14" s="8" customFormat="1" ht="15.75" customHeight="1">
      <c r="A434" s="137" t="s">
        <v>304</v>
      </c>
      <c r="B434" s="115"/>
      <c r="C434" s="115">
        <v>290</v>
      </c>
      <c r="D434" s="115"/>
      <c r="E434" s="115">
        <v>350</v>
      </c>
      <c r="F434" s="115">
        <v>290</v>
      </c>
      <c r="G434" s="122"/>
      <c r="H434" s="118">
        <f>I434+J434+K434+L434+M434+N434</f>
        <v>0</v>
      </c>
      <c r="I434" s="125"/>
      <c r="J434" s="125"/>
      <c r="K434" s="113"/>
      <c r="L434" s="113"/>
      <c r="M434" s="113"/>
      <c r="N434" s="113"/>
    </row>
    <row r="435" spans="1:14" s="8" customFormat="1" ht="15.75" customHeight="1">
      <c r="A435" s="137" t="s">
        <v>305</v>
      </c>
      <c r="B435" s="115"/>
      <c r="C435" s="115"/>
      <c r="D435" s="115"/>
      <c r="E435" s="115"/>
      <c r="F435" s="115"/>
      <c r="G435" s="122"/>
      <c r="H435" s="118">
        <f>I435+J435+K435+L435+M435+N435</f>
        <v>0</v>
      </c>
      <c r="I435" s="125"/>
      <c r="J435" s="125"/>
      <c r="K435" s="113"/>
      <c r="L435" s="113"/>
      <c r="M435" s="113"/>
      <c r="N435" s="113"/>
    </row>
    <row r="436" spans="1:14" s="8" customFormat="1" ht="24.75" customHeight="1">
      <c r="A436" s="137" t="s">
        <v>306</v>
      </c>
      <c r="B436" s="115">
        <v>230</v>
      </c>
      <c r="C436" s="115"/>
      <c r="D436" s="115"/>
      <c r="E436" s="115"/>
      <c r="F436" s="115"/>
      <c r="G436" s="122"/>
      <c r="H436" s="118">
        <f aca="true" t="shared" si="37" ref="H436:N436">H437+H440</f>
        <v>3252431</v>
      </c>
      <c r="I436" s="125">
        <f t="shared" si="37"/>
        <v>2959713</v>
      </c>
      <c r="J436" s="125">
        <f t="shared" si="37"/>
        <v>0</v>
      </c>
      <c r="K436" s="125">
        <f t="shared" si="37"/>
        <v>0</v>
      </c>
      <c r="L436" s="125">
        <f t="shared" si="37"/>
        <v>0</v>
      </c>
      <c r="M436" s="125">
        <f t="shared" si="37"/>
        <v>292718</v>
      </c>
      <c r="N436" s="125">
        <f t="shared" si="37"/>
        <v>0</v>
      </c>
    </row>
    <row r="437" spans="1:14" s="8" customFormat="1" ht="15.75" customHeight="1">
      <c r="A437" s="143" t="s">
        <v>3</v>
      </c>
      <c r="B437" s="115"/>
      <c r="C437" s="115"/>
      <c r="D437" s="115"/>
      <c r="E437" s="115"/>
      <c r="F437" s="115"/>
      <c r="G437" s="122"/>
      <c r="H437" s="118">
        <f aca="true" t="shared" si="38" ref="H437:N437">H438+H439</f>
        <v>3252431</v>
      </c>
      <c r="I437" s="125">
        <f t="shared" si="38"/>
        <v>2959713</v>
      </c>
      <c r="J437" s="125">
        <f t="shared" si="38"/>
        <v>0</v>
      </c>
      <c r="K437" s="125">
        <f t="shared" si="38"/>
        <v>0</v>
      </c>
      <c r="L437" s="125">
        <f t="shared" si="38"/>
        <v>0</v>
      </c>
      <c r="M437" s="125">
        <f t="shared" si="38"/>
        <v>292718</v>
      </c>
      <c r="N437" s="125">
        <f t="shared" si="38"/>
        <v>0</v>
      </c>
    </row>
    <row r="438" spans="1:14" s="8" customFormat="1" ht="15.75" customHeight="1">
      <c r="A438" s="143" t="s">
        <v>307</v>
      </c>
      <c r="B438" s="115"/>
      <c r="C438" s="115">
        <v>290</v>
      </c>
      <c r="D438" s="115"/>
      <c r="E438" s="115">
        <v>831</v>
      </c>
      <c r="F438" s="115">
        <v>290</v>
      </c>
      <c r="G438" s="122"/>
      <c r="H438" s="118">
        <f>I438+J438+K438+L438+M438+N438</f>
        <v>0</v>
      </c>
      <c r="I438" s="125"/>
      <c r="J438" s="125"/>
      <c r="K438" s="113"/>
      <c r="L438" s="113"/>
      <c r="M438" s="113"/>
      <c r="N438" s="113"/>
    </row>
    <row r="439" spans="1:14" s="8" customFormat="1" ht="15.75" customHeight="1">
      <c r="A439" s="143" t="s">
        <v>308</v>
      </c>
      <c r="B439" s="115"/>
      <c r="C439" s="115">
        <v>290</v>
      </c>
      <c r="D439" s="115"/>
      <c r="E439" s="115">
        <v>850</v>
      </c>
      <c r="F439" s="115">
        <v>290</v>
      </c>
      <c r="G439" s="122"/>
      <c r="H439" s="118">
        <f>I439+J439+K439+L439+M439+N439</f>
        <v>3252431</v>
      </c>
      <c r="I439" s="125">
        <f aca="true" t="shared" si="39" ref="I439:N439">SUM(I441:I449)</f>
        <v>2959713</v>
      </c>
      <c r="J439" s="125">
        <f t="shared" si="39"/>
        <v>0</v>
      </c>
      <c r="K439" s="125">
        <f t="shared" si="39"/>
        <v>0</v>
      </c>
      <c r="L439" s="125">
        <f t="shared" si="39"/>
        <v>0</v>
      </c>
      <c r="M439" s="125">
        <f t="shared" si="39"/>
        <v>292718</v>
      </c>
      <c r="N439" s="125">
        <f t="shared" si="39"/>
        <v>0</v>
      </c>
    </row>
    <row r="440" spans="1:14" s="8" customFormat="1" ht="15.75" customHeight="1">
      <c r="A440" s="143" t="s">
        <v>4</v>
      </c>
      <c r="B440" s="115"/>
      <c r="C440" s="115"/>
      <c r="D440" s="115"/>
      <c r="E440" s="115"/>
      <c r="F440" s="115"/>
      <c r="G440" s="122"/>
      <c r="H440" s="118"/>
      <c r="I440" s="125"/>
      <c r="J440" s="125"/>
      <c r="K440" s="125"/>
      <c r="L440" s="125"/>
      <c r="M440" s="125"/>
      <c r="N440" s="125"/>
    </row>
    <row r="441" spans="1:14" s="8" customFormat="1" ht="26.25" customHeight="1">
      <c r="A441" s="143" t="s">
        <v>309</v>
      </c>
      <c r="B441" s="115"/>
      <c r="C441" s="115">
        <v>291</v>
      </c>
      <c r="D441" s="115">
        <v>800000000</v>
      </c>
      <c r="E441" s="115">
        <v>851</v>
      </c>
      <c r="F441" s="115">
        <v>291</v>
      </c>
      <c r="G441" s="102" t="s">
        <v>516</v>
      </c>
      <c r="H441" s="118">
        <f>I441+J441+K441+L441+M441+N441</f>
        <v>2959713</v>
      </c>
      <c r="I441" s="125">
        <v>2959713</v>
      </c>
      <c r="J441" s="125"/>
      <c r="K441" s="113"/>
      <c r="L441" s="113"/>
      <c r="M441" s="113">
        <v>0</v>
      </c>
      <c r="N441" s="113"/>
    </row>
    <row r="442" spans="1:14" s="8" customFormat="1" ht="26.25" customHeight="1">
      <c r="A442" s="143" t="s">
        <v>309</v>
      </c>
      <c r="B442" s="115"/>
      <c r="C442" s="115">
        <v>291</v>
      </c>
      <c r="D442" s="116" t="s">
        <v>521</v>
      </c>
      <c r="E442" s="115">
        <v>851</v>
      </c>
      <c r="F442" s="115">
        <v>291</v>
      </c>
      <c r="G442" s="102" t="s">
        <v>530</v>
      </c>
      <c r="H442" s="118">
        <f>I442+J442+K442+L442+M442+N442</f>
        <v>292718</v>
      </c>
      <c r="I442" s="125">
        <v>0</v>
      </c>
      <c r="J442" s="125"/>
      <c r="K442" s="113"/>
      <c r="L442" s="113"/>
      <c r="M442" s="113">
        <v>292718</v>
      </c>
      <c r="N442" s="113"/>
    </row>
    <row r="443" spans="1:15" s="8" customFormat="1" ht="15" customHeight="1">
      <c r="A443" s="143" t="s">
        <v>357</v>
      </c>
      <c r="B443" s="115"/>
      <c r="C443" s="115">
        <v>291</v>
      </c>
      <c r="D443" s="115"/>
      <c r="E443" s="115">
        <v>852</v>
      </c>
      <c r="F443" s="115">
        <v>291</v>
      </c>
      <c r="G443" s="122"/>
      <c r="H443" s="118">
        <f aca="true" t="shared" si="40" ref="H443:H450">I443+J443+K443+L443+M443+N443</f>
        <v>0</v>
      </c>
      <c r="I443" s="125"/>
      <c r="J443" s="125"/>
      <c r="K443" s="113"/>
      <c r="L443" s="113"/>
      <c r="M443" s="113"/>
      <c r="N443" s="113"/>
      <c r="O443" s="8" t="s">
        <v>378</v>
      </c>
    </row>
    <row r="444" spans="1:15" s="8" customFormat="1" ht="15" customHeight="1">
      <c r="A444" s="143" t="s">
        <v>310</v>
      </c>
      <c r="B444" s="115"/>
      <c r="C444" s="115">
        <v>291</v>
      </c>
      <c r="D444" s="115"/>
      <c r="E444" s="115">
        <v>853</v>
      </c>
      <c r="F444" s="115">
        <v>291</v>
      </c>
      <c r="G444" s="122"/>
      <c r="H444" s="118">
        <f t="shared" si="40"/>
        <v>0</v>
      </c>
      <c r="I444" s="125"/>
      <c r="J444" s="125"/>
      <c r="K444" s="113"/>
      <c r="L444" s="113"/>
      <c r="M444" s="113"/>
      <c r="N444" s="113"/>
      <c r="O444" s="8" t="s">
        <v>379</v>
      </c>
    </row>
    <row r="445" spans="1:14" s="8" customFormat="1" ht="34.5" customHeight="1">
      <c r="A445" s="143" t="s">
        <v>358</v>
      </c>
      <c r="B445" s="115"/>
      <c r="C445" s="115">
        <v>292</v>
      </c>
      <c r="D445" s="115"/>
      <c r="E445" s="115">
        <v>853</v>
      </c>
      <c r="F445" s="115">
        <v>292</v>
      </c>
      <c r="G445" s="122"/>
      <c r="H445" s="118">
        <f t="shared" si="40"/>
        <v>0</v>
      </c>
      <c r="I445" s="125"/>
      <c r="J445" s="125"/>
      <c r="K445" s="113"/>
      <c r="L445" s="113"/>
      <c r="M445" s="113"/>
      <c r="N445" s="113"/>
    </row>
    <row r="446" spans="1:14" s="8" customFormat="1" ht="26.25" customHeight="1">
      <c r="A446" s="143" t="s">
        <v>359</v>
      </c>
      <c r="B446" s="115"/>
      <c r="C446" s="115">
        <v>293</v>
      </c>
      <c r="D446" s="115"/>
      <c r="E446" s="115">
        <v>853</v>
      </c>
      <c r="F446" s="115">
        <v>293</v>
      </c>
      <c r="G446" s="122"/>
      <c r="H446" s="118">
        <f t="shared" si="40"/>
        <v>0</v>
      </c>
      <c r="I446" s="125"/>
      <c r="J446" s="125"/>
      <c r="K446" s="113"/>
      <c r="L446" s="113"/>
      <c r="M446" s="113"/>
      <c r="N446" s="113"/>
    </row>
    <row r="447" spans="1:14" s="8" customFormat="1" ht="26.25" customHeight="1">
      <c r="A447" s="143" t="s">
        <v>360</v>
      </c>
      <c r="B447" s="115"/>
      <c r="C447" s="115">
        <v>294</v>
      </c>
      <c r="D447" s="115"/>
      <c r="E447" s="115">
        <v>853</v>
      </c>
      <c r="F447" s="115">
        <v>294</v>
      </c>
      <c r="G447" s="122"/>
      <c r="H447" s="118">
        <f t="shared" si="40"/>
        <v>0</v>
      </c>
      <c r="I447" s="125"/>
      <c r="J447" s="125"/>
      <c r="K447" s="113"/>
      <c r="L447" s="113"/>
      <c r="M447" s="113"/>
      <c r="N447" s="113"/>
    </row>
    <row r="448" spans="1:14" s="8" customFormat="1" ht="18" customHeight="1">
      <c r="A448" s="143" t="s">
        <v>361</v>
      </c>
      <c r="B448" s="115"/>
      <c r="C448" s="115">
        <v>295</v>
      </c>
      <c r="D448" s="115"/>
      <c r="E448" s="115">
        <v>853</v>
      </c>
      <c r="F448" s="115">
        <v>295</v>
      </c>
      <c r="G448" s="122"/>
      <c r="H448" s="118">
        <f t="shared" si="40"/>
        <v>0</v>
      </c>
      <c r="I448" s="125"/>
      <c r="J448" s="125"/>
      <c r="K448" s="113"/>
      <c r="L448" s="113"/>
      <c r="M448" s="113"/>
      <c r="N448" s="113"/>
    </row>
    <row r="449" spans="1:14" s="8" customFormat="1" ht="18" customHeight="1">
      <c r="A449" s="143" t="s">
        <v>362</v>
      </c>
      <c r="B449" s="115"/>
      <c r="C449" s="115">
        <v>296</v>
      </c>
      <c r="D449" s="115"/>
      <c r="E449" s="115">
        <v>853</v>
      </c>
      <c r="F449" s="115">
        <v>296</v>
      </c>
      <c r="G449" s="122"/>
      <c r="H449" s="118">
        <f t="shared" si="40"/>
        <v>0</v>
      </c>
      <c r="I449" s="125"/>
      <c r="J449" s="125"/>
      <c r="K449" s="113"/>
      <c r="L449" s="113"/>
      <c r="M449" s="113"/>
      <c r="N449" s="113"/>
    </row>
    <row r="450" spans="1:14" s="8" customFormat="1" ht="18" customHeight="1">
      <c r="A450" s="143" t="s">
        <v>311</v>
      </c>
      <c r="B450" s="115">
        <v>240</v>
      </c>
      <c r="C450" s="115"/>
      <c r="D450" s="115"/>
      <c r="E450" s="115"/>
      <c r="F450" s="115"/>
      <c r="G450" s="122"/>
      <c r="H450" s="118">
        <f t="shared" si="40"/>
        <v>0</v>
      </c>
      <c r="I450" s="125"/>
      <c r="J450" s="125"/>
      <c r="K450" s="113"/>
      <c r="L450" s="113"/>
      <c r="M450" s="113"/>
      <c r="N450" s="113"/>
    </row>
    <row r="451" spans="1:14" s="8" customFormat="1" ht="28.5" customHeight="1">
      <c r="A451" s="137" t="s">
        <v>312</v>
      </c>
      <c r="B451" s="115">
        <v>250</v>
      </c>
      <c r="C451" s="115"/>
      <c r="D451" s="115"/>
      <c r="E451" s="115"/>
      <c r="F451" s="115"/>
      <c r="G451" s="122"/>
      <c r="H451" s="118">
        <f>H453+H454</f>
        <v>0</v>
      </c>
      <c r="I451" s="125">
        <f aca="true" t="shared" si="41" ref="I451:N451">I453+I454</f>
        <v>0</v>
      </c>
      <c r="J451" s="125">
        <f t="shared" si="41"/>
        <v>0</v>
      </c>
      <c r="K451" s="125">
        <f t="shared" si="41"/>
        <v>0</v>
      </c>
      <c r="L451" s="125">
        <f t="shared" si="41"/>
        <v>0</v>
      </c>
      <c r="M451" s="125">
        <f t="shared" si="41"/>
        <v>0</v>
      </c>
      <c r="N451" s="125">
        <f t="shared" si="41"/>
        <v>0</v>
      </c>
    </row>
    <row r="452" spans="1:14" s="8" customFormat="1" ht="14.25" customHeight="1">
      <c r="A452" s="143" t="s">
        <v>4</v>
      </c>
      <c r="B452" s="115"/>
      <c r="C452" s="115"/>
      <c r="D452" s="115"/>
      <c r="E452" s="115"/>
      <c r="F452" s="115"/>
      <c r="G452" s="122"/>
      <c r="H452" s="118"/>
      <c r="I452" s="125"/>
      <c r="J452" s="125"/>
      <c r="K452" s="113"/>
      <c r="L452" s="113"/>
      <c r="M452" s="113"/>
      <c r="N452" s="113"/>
    </row>
    <row r="453" spans="1:14" s="8" customFormat="1" ht="29.25" customHeight="1">
      <c r="A453" s="137" t="s">
        <v>313</v>
      </c>
      <c r="B453" s="115"/>
      <c r="C453" s="115"/>
      <c r="D453" s="115"/>
      <c r="E453" s="115"/>
      <c r="F453" s="115"/>
      <c r="G453" s="122"/>
      <c r="H453" s="118">
        <f>I453+J453+K453+L453+M453+N453</f>
        <v>0</v>
      </c>
      <c r="I453" s="125"/>
      <c r="J453" s="125"/>
      <c r="K453" s="113"/>
      <c r="L453" s="113"/>
      <c r="M453" s="113"/>
      <c r="N453" s="113"/>
    </row>
    <row r="454" spans="1:14" s="8" customFormat="1" ht="34.5" customHeight="1">
      <c r="A454" s="143" t="s">
        <v>314</v>
      </c>
      <c r="B454" s="115"/>
      <c r="C454" s="115"/>
      <c r="D454" s="115"/>
      <c r="E454" s="115"/>
      <c r="F454" s="115"/>
      <c r="G454" s="122"/>
      <c r="H454" s="118">
        <f>I454+J454+K454+L454+M454+N454</f>
        <v>0</v>
      </c>
      <c r="I454" s="125"/>
      <c r="J454" s="125"/>
      <c r="K454" s="125"/>
      <c r="L454" s="125"/>
      <c r="M454" s="125"/>
      <c r="N454" s="113"/>
    </row>
    <row r="455" spans="1:14" s="8" customFormat="1" ht="27" customHeight="1">
      <c r="A455" s="143" t="s">
        <v>315</v>
      </c>
      <c r="B455" s="115">
        <v>260</v>
      </c>
      <c r="C455" s="115"/>
      <c r="D455" s="115"/>
      <c r="E455" s="115"/>
      <c r="F455" s="115"/>
      <c r="G455" s="122"/>
      <c r="H455" s="118">
        <f>I455+J455+M455</f>
        <v>9214226.74</v>
      </c>
      <c r="I455" s="125">
        <f>I457+I458+I461+I471+I472+I474+I475+I478+I485</f>
        <v>5492911.640000001</v>
      </c>
      <c r="J455" s="125">
        <f>J457+J460+J461+J470+J471+J474+J477+J478+J484+J485+J492</f>
        <v>0</v>
      </c>
      <c r="K455" s="125">
        <f>K457+K460+K461+K470+K471+K474+K477+K478+K484+K485+K492</f>
        <v>0</v>
      </c>
      <c r="L455" s="125">
        <f>L457+L460+L461+L470+L471+L474+L477+L478+L484+L485+L492</f>
        <v>0</v>
      </c>
      <c r="M455" s="125">
        <f>M457+M460+M461+M470+M471+M474+M477+M478+M484+M485+M492+M459+M473+M491+M476</f>
        <v>3721315.0999999996</v>
      </c>
      <c r="N455" s="125">
        <f>N457+N460+N461+N470+N471+N474+N477+N478+N484+N485+N492</f>
        <v>0</v>
      </c>
    </row>
    <row r="456" spans="1:14" s="41" customFormat="1" ht="15.75" customHeight="1">
      <c r="A456" s="143" t="s">
        <v>4</v>
      </c>
      <c r="B456" s="149"/>
      <c r="C456" s="115"/>
      <c r="D456" s="149"/>
      <c r="E456" s="149"/>
      <c r="F456" s="115"/>
      <c r="G456" s="122"/>
      <c r="H456" s="118"/>
      <c r="I456" s="118"/>
      <c r="J456" s="118"/>
      <c r="K456" s="118"/>
      <c r="L456" s="118"/>
      <c r="M456" s="118"/>
      <c r="N456" s="118"/>
    </row>
    <row r="457" spans="1:14" s="8" customFormat="1" ht="16.5" customHeight="1">
      <c r="A457" s="143" t="s">
        <v>316</v>
      </c>
      <c r="B457" s="115"/>
      <c r="C457" s="115">
        <v>221</v>
      </c>
      <c r="D457" s="115">
        <v>800000000</v>
      </c>
      <c r="E457" s="115">
        <v>244</v>
      </c>
      <c r="F457" s="115">
        <v>221</v>
      </c>
      <c r="G457" s="102" t="s">
        <v>531</v>
      </c>
      <c r="H457" s="118">
        <f>I457+J457+M457</f>
        <v>72000</v>
      </c>
      <c r="I457" s="125">
        <v>72000</v>
      </c>
      <c r="J457" s="125"/>
      <c r="K457" s="113"/>
      <c r="L457" s="113"/>
      <c r="M457" s="113"/>
      <c r="N457" s="113"/>
    </row>
    <row r="458" spans="1:14" s="8" customFormat="1" ht="16.5" customHeight="1">
      <c r="A458" s="143" t="s">
        <v>316</v>
      </c>
      <c r="B458" s="115"/>
      <c r="C458" s="115">
        <v>221</v>
      </c>
      <c r="D458" s="115">
        <v>800000000</v>
      </c>
      <c r="E458" s="115">
        <v>244</v>
      </c>
      <c r="F458" s="115">
        <v>221</v>
      </c>
      <c r="G458" s="102" t="s">
        <v>532</v>
      </c>
      <c r="H458" s="118">
        <f>I458+J458+M458</f>
        <v>32000.1</v>
      </c>
      <c r="I458" s="125">
        <v>32000.1</v>
      </c>
      <c r="J458" s="125"/>
      <c r="K458" s="113"/>
      <c r="L458" s="113"/>
      <c r="M458" s="113"/>
      <c r="N458" s="113"/>
    </row>
    <row r="459" spans="1:14" s="8" customFormat="1" ht="16.5" customHeight="1">
      <c r="A459" s="143" t="s">
        <v>316</v>
      </c>
      <c r="B459" s="115"/>
      <c r="C459" s="115">
        <v>221</v>
      </c>
      <c r="D459" s="116" t="s">
        <v>521</v>
      </c>
      <c r="E459" s="115">
        <v>244</v>
      </c>
      <c r="F459" s="115">
        <v>221</v>
      </c>
      <c r="G459" s="102" t="s">
        <v>533</v>
      </c>
      <c r="H459" s="118">
        <f>I459+J459+M459</f>
        <v>2909.1</v>
      </c>
      <c r="I459" s="125">
        <v>0</v>
      </c>
      <c r="J459" s="125"/>
      <c r="K459" s="113"/>
      <c r="L459" s="113"/>
      <c r="M459" s="113">
        <v>2909.1</v>
      </c>
      <c r="N459" s="113"/>
    </row>
    <row r="460" spans="1:14" s="8" customFormat="1" ht="15.75" customHeight="1">
      <c r="A460" s="143" t="s">
        <v>317</v>
      </c>
      <c r="B460" s="115"/>
      <c r="C460" s="115">
        <v>222</v>
      </c>
      <c r="D460" s="115"/>
      <c r="E460" s="115">
        <v>244</v>
      </c>
      <c r="F460" s="115">
        <v>222</v>
      </c>
      <c r="G460" s="122"/>
      <c r="H460" s="118">
        <f>I460+J460+K460+L460+M460+N460</f>
        <v>0</v>
      </c>
      <c r="I460" s="125"/>
      <c r="J460" s="125"/>
      <c r="K460" s="113"/>
      <c r="L460" s="113"/>
      <c r="M460" s="113"/>
      <c r="N460" s="113"/>
    </row>
    <row r="461" spans="1:14" s="8" customFormat="1" ht="14.25" customHeight="1">
      <c r="A461" s="143" t="s">
        <v>318</v>
      </c>
      <c r="B461" s="115"/>
      <c r="C461" s="115">
        <v>223</v>
      </c>
      <c r="D461" s="115"/>
      <c r="E461" s="115">
        <v>244</v>
      </c>
      <c r="F461" s="115">
        <v>223</v>
      </c>
      <c r="G461" s="122"/>
      <c r="H461" s="118">
        <f>I461+J461+M461</f>
        <v>2037560.0399999998</v>
      </c>
      <c r="I461" s="125">
        <f>I463+I464+I465+I466</f>
        <v>1842358.5699999998</v>
      </c>
      <c r="J461" s="125">
        <f>J463+J464+J465+J466</f>
        <v>0</v>
      </c>
      <c r="K461" s="125">
        <f>K463+K464+K465+K466</f>
        <v>0</v>
      </c>
      <c r="L461" s="125">
        <f>L463+L464+L465+L466</f>
        <v>0</v>
      </c>
      <c r="M461" s="125">
        <f>SUM(M463:M469)</f>
        <v>195201.47</v>
      </c>
      <c r="N461" s="125">
        <f>N463+N464+N465+N466</f>
        <v>0</v>
      </c>
    </row>
    <row r="462" spans="1:14" s="8" customFormat="1" ht="12.75">
      <c r="A462" s="143" t="s">
        <v>4</v>
      </c>
      <c r="B462" s="115"/>
      <c r="C462" s="115"/>
      <c r="D462" s="115"/>
      <c r="E462" s="115"/>
      <c r="F462" s="115"/>
      <c r="G462" s="122"/>
      <c r="H462" s="118"/>
      <c r="I462" s="125"/>
      <c r="J462" s="125"/>
      <c r="K462" s="113"/>
      <c r="L462" s="113"/>
      <c r="M462" s="113"/>
      <c r="N462" s="113"/>
    </row>
    <row r="463" spans="1:14" s="8" customFormat="1" ht="15" customHeight="1">
      <c r="A463" s="143" t="s">
        <v>319</v>
      </c>
      <c r="B463" s="115"/>
      <c r="C463" s="115"/>
      <c r="D463" s="115">
        <v>800000000</v>
      </c>
      <c r="E463" s="115">
        <v>244</v>
      </c>
      <c r="F463" s="115"/>
      <c r="G463" s="102" t="s">
        <v>532</v>
      </c>
      <c r="H463" s="118">
        <f aca="true" t="shared" si="42" ref="H463:H478">I463+J463+K463+L463+M463+N463</f>
        <v>1246845.97</v>
      </c>
      <c r="I463" s="125">
        <v>1246845.97</v>
      </c>
      <c r="J463" s="125"/>
      <c r="K463" s="113"/>
      <c r="L463" s="113"/>
      <c r="M463" s="113">
        <v>0</v>
      </c>
      <c r="N463" s="113"/>
    </row>
    <row r="464" spans="1:14" s="8" customFormat="1" ht="15" customHeight="1">
      <c r="A464" s="143" t="s">
        <v>320</v>
      </c>
      <c r="B464" s="115"/>
      <c r="C464" s="115"/>
      <c r="D464" s="115">
        <v>800000000</v>
      </c>
      <c r="E464" s="115">
        <v>244</v>
      </c>
      <c r="F464" s="115"/>
      <c r="G464" s="102" t="s">
        <v>532</v>
      </c>
      <c r="H464" s="118">
        <f t="shared" si="42"/>
        <v>0</v>
      </c>
      <c r="I464" s="125">
        <v>0</v>
      </c>
      <c r="J464" s="125"/>
      <c r="K464" s="113"/>
      <c r="L464" s="113"/>
      <c r="M464" s="113"/>
      <c r="N464" s="113"/>
    </row>
    <row r="465" spans="1:14" s="8" customFormat="1" ht="15" customHeight="1">
      <c r="A465" s="143" t="s">
        <v>321</v>
      </c>
      <c r="B465" s="115"/>
      <c r="C465" s="115"/>
      <c r="D465" s="115">
        <v>800000000</v>
      </c>
      <c r="E465" s="115">
        <v>244</v>
      </c>
      <c r="F465" s="115"/>
      <c r="G465" s="102" t="s">
        <v>532</v>
      </c>
      <c r="H465" s="118">
        <f t="shared" si="42"/>
        <v>470359.68</v>
      </c>
      <c r="I465" s="125">
        <v>470359.68</v>
      </c>
      <c r="J465" s="125"/>
      <c r="K465" s="113"/>
      <c r="L465" s="113"/>
      <c r="M465" s="113"/>
      <c r="N465" s="113"/>
    </row>
    <row r="466" spans="1:14" s="8" customFormat="1" ht="15" customHeight="1">
      <c r="A466" s="143" t="s">
        <v>322</v>
      </c>
      <c r="B466" s="115"/>
      <c r="C466" s="115"/>
      <c r="D466" s="115">
        <v>800000000</v>
      </c>
      <c r="E466" s="115">
        <v>244</v>
      </c>
      <c r="F466" s="115"/>
      <c r="G466" s="102" t="s">
        <v>532</v>
      </c>
      <c r="H466" s="118">
        <f t="shared" si="42"/>
        <v>125152.92</v>
      </c>
      <c r="I466" s="125">
        <v>125152.92</v>
      </c>
      <c r="J466" s="125"/>
      <c r="K466" s="113"/>
      <c r="L466" s="113"/>
      <c r="M466" s="113"/>
      <c r="N466" s="113"/>
    </row>
    <row r="467" spans="1:14" s="8" customFormat="1" ht="15" customHeight="1">
      <c r="A467" s="143" t="s">
        <v>319</v>
      </c>
      <c r="B467" s="115"/>
      <c r="C467" s="115"/>
      <c r="D467" s="116" t="s">
        <v>521</v>
      </c>
      <c r="E467" s="115">
        <v>244</v>
      </c>
      <c r="F467" s="115"/>
      <c r="G467" s="102" t="s">
        <v>533</v>
      </c>
      <c r="H467" s="118">
        <f t="shared" si="42"/>
        <v>9301.35</v>
      </c>
      <c r="I467" s="125">
        <v>0</v>
      </c>
      <c r="J467" s="125"/>
      <c r="K467" s="113"/>
      <c r="L467" s="113"/>
      <c r="M467" s="113">
        <v>9301.35</v>
      </c>
      <c r="N467" s="113"/>
    </row>
    <row r="468" spans="1:14" s="8" customFormat="1" ht="15" customHeight="1">
      <c r="A468" s="143" t="s">
        <v>321</v>
      </c>
      <c r="B468" s="115"/>
      <c r="C468" s="115"/>
      <c r="D468" s="116" t="s">
        <v>521</v>
      </c>
      <c r="E468" s="115">
        <v>244</v>
      </c>
      <c r="F468" s="115"/>
      <c r="G468" s="102" t="s">
        <v>533</v>
      </c>
      <c r="H468" s="118">
        <f t="shared" si="42"/>
        <v>143362.88</v>
      </c>
      <c r="I468" s="125">
        <v>0</v>
      </c>
      <c r="J468" s="125"/>
      <c r="K468" s="113"/>
      <c r="L468" s="113"/>
      <c r="M468" s="113">
        <v>143362.88</v>
      </c>
      <c r="N468" s="113"/>
    </row>
    <row r="469" spans="1:14" s="8" customFormat="1" ht="15" customHeight="1">
      <c r="A469" s="143" t="s">
        <v>322</v>
      </c>
      <c r="B469" s="115"/>
      <c r="C469" s="115"/>
      <c r="D469" s="116" t="s">
        <v>521</v>
      </c>
      <c r="E469" s="115">
        <v>244</v>
      </c>
      <c r="F469" s="115"/>
      <c r="G469" s="102" t="s">
        <v>533</v>
      </c>
      <c r="H469" s="118">
        <f t="shared" si="42"/>
        <v>42537.24</v>
      </c>
      <c r="I469" s="125">
        <v>0</v>
      </c>
      <c r="J469" s="125"/>
      <c r="K469" s="113"/>
      <c r="L469" s="113"/>
      <c r="M469" s="113">
        <v>42537.24</v>
      </c>
      <c r="N469" s="113"/>
    </row>
    <row r="470" spans="1:14" s="8" customFormat="1" ht="15" customHeight="1">
      <c r="A470" s="143" t="s">
        <v>323</v>
      </c>
      <c r="B470" s="115"/>
      <c r="C470" s="115">
        <v>224</v>
      </c>
      <c r="D470" s="115"/>
      <c r="E470" s="115"/>
      <c r="F470" s="115">
        <v>224</v>
      </c>
      <c r="G470" s="122"/>
      <c r="H470" s="118">
        <f t="shared" si="42"/>
        <v>0</v>
      </c>
      <c r="I470" s="125">
        <v>0</v>
      </c>
      <c r="J470" s="125"/>
      <c r="K470" s="113"/>
      <c r="L470" s="113"/>
      <c r="M470" s="113"/>
      <c r="N470" s="113"/>
    </row>
    <row r="471" spans="1:14" s="8" customFormat="1" ht="15" customHeight="1">
      <c r="A471" s="143" t="s">
        <v>324</v>
      </c>
      <c r="B471" s="115"/>
      <c r="C471" s="115">
        <v>225</v>
      </c>
      <c r="D471" s="115">
        <v>800000000</v>
      </c>
      <c r="E471" s="115">
        <v>244</v>
      </c>
      <c r="F471" s="115">
        <v>225</v>
      </c>
      <c r="G471" s="102" t="s">
        <v>531</v>
      </c>
      <c r="H471" s="118">
        <f t="shared" si="42"/>
        <v>132945.86</v>
      </c>
      <c r="I471" s="125">
        <v>132945.86</v>
      </c>
      <c r="J471" s="125"/>
      <c r="K471" s="113"/>
      <c r="L471" s="113"/>
      <c r="M471" s="113"/>
      <c r="N471" s="113"/>
    </row>
    <row r="472" spans="1:14" s="8" customFormat="1" ht="15" customHeight="1">
      <c r="A472" s="143" t="s">
        <v>324</v>
      </c>
      <c r="B472" s="115"/>
      <c r="C472" s="115">
        <v>225</v>
      </c>
      <c r="D472" s="115">
        <v>800000000</v>
      </c>
      <c r="E472" s="115">
        <v>244</v>
      </c>
      <c r="F472" s="115">
        <v>225</v>
      </c>
      <c r="G472" s="102" t="s">
        <v>532</v>
      </c>
      <c r="H472" s="118">
        <f t="shared" si="42"/>
        <v>2270207.21</v>
      </c>
      <c r="I472" s="125">
        <f>2200842.68+69364.53</f>
        <v>2270207.21</v>
      </c>
      <c r="J472" s="125"/>
      <c r="K472" s="113"/>
      <c r="L472" s="113"/>
      <c r="M472" s="113"/>
      <c r="N472" s="113"/>
    </row>
    <row r="473" spans="1:14" s="8" customFormat="1" ht="15" customHeight="1">
      <c r="A473" s="143" t="s">
        <v>324</v>
      </c>
      <c r="B473" s="115"/>
      <c r="C473" s="115">
        <v>225</v>
      </c>
      <c r="D473" s="116" t="s">
        <v>521</v>
      </c>
      <c r="E473" s="115">
        <v>244</v>
      </c>
      <c r="F473" s="115">
        <v>225</v>
      </c>
      <c r="G473" s="102" t="s">
        <v>533</v>
      </c>
      <c r="H473" s="118">
        <f t="shared" si="42"/>
        <v>2644941.9499999997</v>
      </c>
      <c r="I473" s="125">
        <v>0</v>
      </c>
      <c r="J473" s="125"/>
      <c r="K473" s="113"/>
      <c r="L473" s="113"/>
      <c r="M473" s="113">
        <f>2600998.63+33943.32+10000</f>
        <v>2644941.9499999997</v>
      </c>
      <c r="N473" s="113"/>
    </row>
    <row r="474" spans="1:14" s="8" customFormat="1" ht="15" customHeight="1">
      <c r="A474" s="143" t="s">
        <v>325</v>
      </c>
      <c r="B474" s="115"/>
      <c r="C474" s="115">
        <v>310</v>
      </c>
      <c r="D474" s="115">
        <v>800000000</v>
      </c>
      <c r="E474" s="115">
        <v>244</v>
      </c>
      <c r="F474" s="115">
        <v>310</v>
      </c>
      <c r="G474" s="102" t="s">
        <v>531</v>
      </c>
      <c r="H474" s="118">
        <f t="shared" si="42"/>
        <v>450000</v>
      </c>
      <c r="I474" s="125">
        <v>450000</v>
      </c>
      <c r="J474" s="125"/>
      <c r="K474" s="113"/>
      <c r="L474" s="113"/>
      <c r="M474" s="113"/>
      <c r="N474" s="113"/>
    </row>
    <row r="475" spans="1:14" s="8" customFormat="1" ht="15" customHeight="1">
      <c r="A475" s="143" t="s">
        <v>325</v>
      </c>
      <c r="B475" s="115"/>
      <c r="C475" s="115">
        <v>310</v>
      </c>
      <c r="D475" s="115">
        <v>800000000</v>
      </c>
      <c r="E475" s="115">
        <v>244</v>
      </c>
      <c r="F475" s="115">
        <v>310</v>
      </c>
      <c r="G475" s="102" t="s">
        <v>532</v>
      </c>
      <c r="H475" s="118">
        <f t="shared" si="42"/>
        <v>262999.9</v>
      </c>
      <c r="I475" s="125">
        <f>295000-32000.1</f>
        <v>262999.9</v>
      </c>
      <c r="J475" s="125"/>
      <c r="K475" s="113"/>
      <c r="L475" s="113"/>
      <c r="M475" s="113"/>
      <c r="N475" s="113"/>
    </row>
    <row r="476" spans="1:14" s="8" customFormat="1" ht="15" customHeight="1">
      <c r="A476" s="143" t="s">
        <v>325</v>
      </c>
      <c r="B476" s="115"/>
      <c r="C476" s="115">
        <v>310</v>
      </c>
      <c r="D476" s="116" t="s">
        <v>521</v>
      </c>
      <c r="E476" s="115">
        <v>244</v>
      </c>
      <c r="F476" s="115">
        <v>310</v>
      </c>
      <c r="G476" s="102" t="s">
        <v>533</v>
      </c>
      <c r="H476" s="118">
        <f t="shared" si="42"/>
        <v>104248</v>
      </c>
      <c r="I476" s="125">
        <v>0</v>
      </c>
      <c r="J476" s="125"/>
      <c r="K476" s="113"/>
      <c r="L476" s="113"/>
      <c r="M476" s="113">
        <v>104248</v>
      </c>
      <c r="N476" s="113"/>
    </row>
    <row r="477" spans="1:14" s="8" customFormat="1" ht="15" customHeight="1">
      <c r="A477" s="143" t="s">
        <v>326</v>
      </c>
      <c r="B477" s="115"/>
      <c r="C477" s="115">
        <v>320</v>
      </c>
      <c r="D477" s="115"/>
      <c r="E477" s="115">
        <v>244</v>
      </c>
      <c r="F477" s="115">
        <v>320</v>
      </c>
      <c r="G477" s="122"/>
      <c r="H477" s="118">
        <f t="shared" si="42"/>
        <v>0</v>
      </c>
      <c r="I477" s="125">
        <v>0</v>
      </c>
      <c r="J477" s="125"/>
      <c r="K477" s="113"/>
      <c r="L477" s="113"/>
      <c r="M477" s="113"/>
      <c r="N477" s="113"/>
    </row>
    <row r="478" spans="1:14" s="8" customFormat="1" ht="15" customHeight="1">
      <c r="A478" s="143" t="s">
        <v>327</v>
      </c>
      <c r="B478" s="115"/>
      <c r="C478" s="115">
        <v>340</v>
      </c>
      <c r="D478" s="115"/>
      <c r="E478" s="115">
        <v>244</v>
      </c>
      <c r="F478" s="115">
        <v>340</v>
      </c>
      <c r="G478" s="122"/>
      <c r="H478" s="118">
        <f t="shared" si="42"/>
        <v>124943.1</v>
      </c>
      <c r="I478" s="125">
        <f aca="true" t="shared" si="43" ref="I478:N478">I479+I480+I481+I482+I483</f>
        <v>124943.1</v>
      </c>
      <c r="J478" s="125">
        <f t="shared" si="43"/>
        <v>0</v>
      </c>
      <c r="K478" s="125">
        <f t="shared" si="43"/>
        <v>0</v>
      </c>
      <c r="L478" s="125">
        <f t="shared" si="43"/>
        <v>0</v>
      </c>
      <c r="M478" s="125">
        <f t="shared" si="43"/>
        <v>0</v>
      </c>
      <c r="N478" s="125">
        <f t="shared" si="43"/>
        <v>0</v>
      </c>
    </row>
    <row r="479" spans="1:14" s="8" customFormat="1" ht="15" customHeight="1">
      <c r="A479" s="143" t="s">
        <v>4</v>
      </c>
      <c r="B479" s="115"/>
      <c r="C479" s="115"/>
      <c r="D479" s="115"/>
      <c r="E479" s="115"/>
      <c r="F479" s="115"/>
      <c r="G479" s="122"/>
      <c r="H479" s="118"/>
      <c r="I479" s="125"/>
      <c r="J479" s="125"/>
      <c r="K479" s="113"/>
      <c r="L479" s="113"/>
      <c r="M479" s="113"/>
      <c r="N479" s="113"/>
    </row>
    <row r="480" spans="1:14" s="8" customFormat="1" ht="15" customHeight="1">
      <c r="A480" s="143" t="s">
        <v>328</v>
      </c>
      <c r="B480" s="115"/>
      <c r="C480" s="115"/>
      <c r="D480" s="115"/>
      <c r="E480" s="115"/>
      <c r="F480" s="115"/>
      <c r="G480" s="102"/>
      <c r="H480" s="118">
        <f>I480+J480+K480+L480+M480+N480</f>
        <v>0</v>
      </c>
      <c r="I480" s="125">
        <v>0</v>
      </c>
      <c r="J480" s="125"/>
      <c r="K480" s="113"/>
      <c r="L480" s="113"/>
      <c r="M480" s="113"/>
      <c r="N480" s="113"/>
    </row>
    <row r="481" spans="1:14" s="8" customFormat="1" ht="15" customHeight="1">
      <c r="A481" s="143" t="s">
        <v>329</v>
      </c>
      <c r="B481" s="115"/>
      <c r="C481" s="115"/>
      <c r="D481" s="115"/>
      <c r="E481" s="115"/>
      <c r="F481" s="115"/>
      <c r="G481" s="122"/>
      <c r="H481" s="118">
        <f>I481+J481+K481+L481+M481+N481</f>
        <v>0</v>
      </c>
      <c r="I481" s="125">
        <v>0</v>
      </c>
      <c r="J481" s="125"/>
      <c r="K481" s="113"/>
      <c r="L481" s="113"/>
      <c r="M481" s="113"/>
      <c r="N481" s="113"/>
    </row>
    <row r="482" spans="1:14" s="8" customFormat="1" ht="15" customHeight="1">
      <c r="A482" s="143" t="s">
        <v>330</v>
      </c>
      <c r="B482" s="115"/>
      <c r="C482" s="115">
        <v>346</v>
      </c>
      <c r="D482" s="115">
        <v>800000000</v>
      </c>
      <c r="E482" s="115">
        <v>244</v>
      </c>
      <c r="F482" s="115"/>
      <c r="G482" s="102" t="s">
        <v>532</v>
      </c>
      <c r="H482" s="118">
        <f>I482+J482+K482+L482+M482+N482</f>
        <v>124943.1</v>
      </c>
      <c r="I482" s="125">
        <v>124943.1</v>
      </c>
      <c r="J482" s="125"/>
      <c r="K482" s="113"/>
      <c r="L482" s="113"/>
      <c r="M482" s="113"/>
      <c r="N482" s="113"/>
    </row>
    <row r="483" spans="1:14" s="8" customFormat="1" ht="15" customHeight="1">
      <c r="A483" s="143" t="s">
        <v>331</v>
      </c>
      <c r="B483" s="115"/>
      <c r="C483" s="115"/>
      <c r="D483" s="115"/>
      <c r="E483" s="115"/>
      <c r="F483" s="115"/>
      <c r="G483" s="122"/>
      <c r="H483" s="118">
        <f>I483+J483+K483+L483+M483+N483</f>
        <v>0</v>
      </c>
      <c r="I483" s="125">
        <v>0</v>
      </c>
      <c r="J483" s="125"/>
      <c r="K483" s="113"/>
      <c r="L483" s="113"/>
      <c r="M483" s="113"/>
      <c r="N483" s="113"/>
    </row>
    <row r="484" spans="1:14" s="8" customFormat="1" ht="17.25" customHeight="1">
      <c r="A484" s="143" t="s">
        <v>332</v>
      </c>
      <c r="B484" s="115"/>
      <c r="C484" s="115">
        <v>530</v>
      </c>
      <c r="D484" s="115"/>
      <c r="E484" s="115">
        <v>465</v>
      </c>
      <c r="F484" s="115">
        <v>530</v>
      </c>
      <c r="G484" s="122"/>
      <c r="H484" s="118"/>
      <c r="I484" s="125"/>
      <c r="J484" s="125"/>
      <c r="K484" s="113"/>
      <c r="L484" s="113"/>
      <c r="M484" s="113"/>
      <c r="N484" s="113"/>
    </row>
    <row r="485" spans="1:14" s="8" customFormat="1" ht="17.25" customHeight="1">
      <c r="A485" s="143" t="s">
        <v>333</v>
      </c>
      <c r="B485" s="115"/>
      <c r="C485" s="115">
        <v>226</v>
      </c>
      <c r="D485" s="115">
        <v>800000000</v>
      </c>
      <c r="E485" s="115">
        <v>244</v>
      </c>
      <c r="F485" s="115">
        <v>226</v>
      </c>
      <c r="G485" s="122"/>
      <c r="H485" s="118">
        <f>I485+J485+K485+L485+M485+N485</f>
        <v>305456.9</v>
      </c>
      <c r="I485" s="125">
        <f>SUM(I487:I490)</f>
        <v>305456.9</v>
      </c>
      <c r="J485" s="125">
        <f>J487+J488+J489</f>
        <v>0</v>
      </c>
      <c r="K485" s="125">
        <f>K487+K488+K489</f>
        <v>0</v>
      </c>
      <c r="L485" s="125">
        <f>L487+L488+L489</f>
        <v>0</v>
      </c>
      <c r="M485" s="125">
        <f>M487+M488+M489</f>
        <v>0</v>
      </c>
      <c r="N485" s="125">
        <f>N487+N488+N489</f>
        <v>0</v>
      </c>
    </row>
    <row r="486" spans="1:14" s="8" customFormat="1" ht="17.25" customHeight="1">
      <c r="A486" s="143" t="s">
        <v>4</v>
      </c>
      <c r="B486" s="115"/>
      <c r="C486" s="115"/>
      <c r="D486" s="115"/>
      <c r="E486" s="115"/>
      <c r="F486" s="115"/>
      <c r="G486" s="122"/>
      <c r="H486" s="118"/>
      <c r="I486" s="125"/>
      <c r="J486" s="125"/>
      <c r="K486" s="113"/>
      <c r="L486" s="113"/>
      <c r="M486" s="113"/>
      <c r="N486" s="113"/>
    </row>
    <row r="487" spans="1:14" s="8" customFormat="1" ht="17.25" customHeight="1">
      <c r="A487" s="143" t="s">
        <v>334</v>
      </c>
      <c r="B487" s="115"/>
      <c r="C487" s="115"/>
      <c r="D487" s="115"/>
      <c r="E487" s="115"/>
      <c r="F487" s="115"/>
      <c r="G487" s="122"/>
      <c r="H487" s="118">
        <f aca="true" t="shared" si="44" ref="H487:H492">I487+J487+K487+L487+M487+N487</f>
        <v>0</v>
      </c>
      <c r="I487" s="125"/>
      <c r="J487" s="125"/>
      <c r="K487" s="113"/>
      <c r="L487" s="113"/>
      <c r="M487" s="113"/>
      <c r="N487" s="113"/>
    </row>
    <row r="488" spans="1:14" s="8" customFormat="1" ht="28.5" customHeight="1">
      <c r="A488" s="143" t="s">
        <v>335</v>
      </c>
      <c r="B488" s="115"/>
      <c r="C488" s="115"/>
      <c r="D488" s="115"/>
      <c r="E488" s="115"/>
      <c r="F488" s="115"/>
      <c r="G488" s="122"/>
      <c r="H488" s="118">
        <f t="shared" si="44"/>
        <v>0</v>
      </c>
      <c r="I488" s="125"/>
      <c r="J488" s="125"/>
      <c r="K488" s="113"/>
      <c r="L488" s="113"/>
      <c r="M488" s="113"/>
      <c r="N488" s="113"/>
    </row>
    <row r="489" spans="1:14" s="8" customFormat="1" ht="17.25" customHeight="1">
      <c r="A489" s="143" t="s">
        <v>336</v>
      </c>
      <c r="B489" s="115"/>
      <c r="C489" s="115">
        <v>226</v>
      </c>
      <c r="D489" s="115">
        <v>800000000</v>
      </c>
      <c r="E489" s="115">
        <v>244</v>
      </c>
      <c r="F489" s="115">
        <v>226</v>
      </c>
      <c r="G489" s="102" t="s">
        <v>531</v>
      </c>
      <c r="H489" s="118">
        <f t="shared" si="44"/>
        <v>101269</v>
      </c>
      <c r="I489" s="125">
        <v>101269</v>
      </c>
      <c r="J489" s="125"/>
      <c r="K489" s="113"/>
      <c r="L489" s="113"/>
      <c r="M489" s="113"/>
      <c r="N489" s="113"/>
    </row>
    <row r="490" spans="1:14" s="8" customFormat="1" ht="17.25" customHeight="1">
      <c r="A490" s="143" t="s">
        <v>336</v>
      </c>
      <c r="B490" s="115"/>
      <c r="C490" s="115">
        <v>226</v>
      </c>
      <c r="D490" s="115">
        <v>800000000</v>
      </c>
      <c r="E490" s="115">
        <v>244</v>
      </c>
      <c r="F490" s="115">
        <v>226</v>
      </c>
      <c r="G490" s="102" t="s">
        <v>532</v>
      </c>
      <c r="H490" s="118">
        <f t="shared" si="44"/>
        <v>204187.9</v>
      </c>
      <c r="I490" s="125">
        <v>204187.9</v>
      </c>
      <c r="J490" s="125"/>
      <c r="K490" s="113"/>
      <c r="L490" s="113"/>
      <c r="M490" s="113"/>
      <c r="N490" s="113"/>
    </row>
    <row r="491" spans="1:14" s="8" customFormat="1" ht="17.25" customHeight="1">
      <c r="A491" s="143" t="s">
        <v>336</v>
      </c>
      <c r="B491" s="115"/>
      <c r="C491" s="115">
        <v>226</v>
      </c>
      <c r="D491" s="116" t="s">
        <v>521</v>
      </c>
      <c r="E491" s="115">
        <v>244</v>
      </c>
      <c r="F491" s="115">
        <v>226</v>
      </c>
      <c r="G491" s="102" t="s">
        <v>533</v>
      </c>
      <c r="H491" s="118">
        <f t="shared" si="44"/>
        <v>774014.58</v>
      </c>
      <c r="I491" s="125">
        <v>0</v>
      </c>
      <c r="J491" s="125"/>
      <c r="K491" s="113"/>
      <c r="L491" s="113"/>
      <c r="M491" s="113">
        <v>774014.58</v>
      </c>
      <c r="N491" s="113"/>
    </row>
    <row r="492" spans="1:14" s="8" customFormat="1" ht="17.25" customHeight="1">
      <c r="A492" s="143" t="s">
        <v>400</v>
      </c>
      <c r="B492" s="115"/>
      <c r="C492" s="115">
        <v>296</v>
      </c>
      <c r="D492" s="115"/>
      <c r="E492" s="115">
        <v>244</v>
      </c>
      <c r="F492" s="115">
        <v>296</v>
      </c>
      <c r="G492" s="122"/>
      <c r="H492" s="118">
        <f t="shared" si="44"/>
        <v>0</v>
      </c>
      <c r="I492" s="125"/>
      <c r="J492" s="125"/>
      <c r="K492" s="113"/>
      <c r="L492" s="113"/>
      <c r="M492" s="113"/>
      <c r="N492" s="113"/>
    </row>
    <row r="493" spans="1:14" s="8" customFormat="1" ht="17.25" customHeight="1">
      <c r="A493" s="137" t="s">
        <v>53</v>
      </c>
      <c r="B493" s="115">
        <v>300</v>
      </c>
      <c r="C493" s="115" t="s">
        <v>10</v>
      </c>
      <c r="D493" s="115"/>
      <c r="E493" s="115"/>
      <c r="F493" s="115" t="s">
        <v>10</v>
      </c>
      <c r="G493" s="122"/>
      <c r="H493" s="118">
        <f>H495+H496</f>
        <v>0</v>
      </c>
      <c r="I493" s="125">
        <f aca="true" t="shared" si="45" ref="I493:N493">I495+I496</f>
        <v>0</v>
      </c>
      <c r="J493" s="125">
        <f t="shared" si="45"/>
        <v>0</v>
      </c>
      <c r="K493" s="125">
        <f t="shared" si="45"/>
        <v>0</v>
      </c>
      <c r="L493" s="125">
        <f t="shared" si="45"/>
        <v>0</v>
      </c>
      <c r="M493" s="125">
        <f t="shared" si="45"/>
        <v>0</v>
      </c>
      <c r="N493" s="125">
        <f t="shared" si="45"/>
        <v>0</v>
      </c>
    </row>
    <row r="494" spans="1:14" s="8" customFormat="1" ht="14.25" customHeight="1">
      <c r="A494" s="137" t="s">
        <v>3</v>
      </c>
      <c r="B494" s="115"/>
      <c r="C494" s="149"/>
      <c r="D494" s="115"/>
      <c r="E494" s="115"/>
      <c r="F494" s="149"/>
      <c r="G494" s="150"/>
      <c r="H494" s="118"/>
      <c r="I494" s="125"/>
      <c r="J494" s="125"/>
      <c r="K494" s="113"/>
      <c r="L494" s="113"/>
      <c r="M494" s="113"/>
      <c r="N494" s="113"/>
    </row>
    <row r="495" spans="1:14" s="8" customFormat="1" ht="16.5" customHeight="1">
      <c r="A495" s="137" t="s">
        <v>54</v>
      </c>
      <c r="B495" s="145">
        <v>310</v>
      </c>
      <c r="C495" s="151"/>
      <c r="D495" s="145"/>
      <c r="E495" s="145"/>
      <c r="F495" s="151"/>
      <c r="G495" s="152"/>
      <c r="H495" s="118">
        <f>I495+J495+K495+L495+M495+N495</f>
        <v>0</v>
      </c>
      <c r="I495" s="125"/>
      <c r="J495" s="125"/>
      <c r="K495" s="113"/>
      <c r="L495" s="113"/>
      <c r="M495" s="113"/>
      <c r="N495" s="113"/>
    </row>
    <row r="496" spans="1:14" s="153" customFormat="1" ht="15" customHeight="1">
      <c r="A496" s="137" t="s">
        <v>55</v>
      </c>
      <c r="B496" s="115">
        <v>320</v>
      </c>
      <c r="C496" s="115"/>
      <c r="D496" s="115"/>
      <c r="E496" s="115"/>
      <c r="F496" s="115"/>
      <c r="G496" s="122"/>
      <c r="H496" s="118">
        <f>I496+J496+K496+L496+M496+N496</f>
        <v>0</v>
      </c>
      <c r="I496" s="125"/>
      <c r="J496" s="125"/>
      <c r="K496" s="113"/>
      <c r="L496" s="113"/>
      <c r="M496" s="113"/>
      <c r="N496" s="113"/>
    </row>
    <row r="497" spans="1:14" s="153" customFormat="1" ht="17.25" customHeight="1">
      <c r="A497" s="137" t="s">
        <v>56</v>
      </c>
      <c r="B497" s="115">
        <v>400</v>
      </c>
      <c r="C497" s="115"/>
      <c r="D497" s="115"/>
      <c r="E497" s="115"/>
      <c r="F497" s="115"/>
      <c r="G497" s="122"/>
      <c r="H497" s="118">
        <f>H499+H500</f>
        <v>0</v>
      </c>
      <c r="I497" s="125">
        <f aca="true" t="shared" si="46" ref="I497:N497">I499+I500</f>
        <v>0</v>
      </c>
      <c r="J497" s="125">
        <f t="shared" si="46"/>
        <v>0</v>
      </c>
      <c r="K497" s="125">
        <f t="shared" si="46"/>
        <v>0</v>
      </c>
      <c r="L497" s="125">
        <f t="shared" si="46"/>
        <v>0</v>
      </c>
      <c r="M497" s="125">
        <f t="shared" si="46"/>
        <v>0</v>
      </c>
      <c r="N497" s="125">
        <f t="shared" si="46"/>
        <v>0</v>
      </c>
    </row>
    <row r="498" spans="1:14" s="153" customFormat="1" ht="14.25" customHeight="1">
      <c r="A498" s="137" t="s">
        <v>3</v>
      </c>
      <c r="B498" s="115"/>
      <c r="C498" s="149"/>
      <c r="D498" s="115"/>
      <c r="E498" s="115"/>
      <c r="F498" s="149"/>
      <c r="G498" s="150"/>
      <c r="H498" s="118"/>
      <c r="I498" s="125"/>
      <c r="J498" s="125"/>
      <c r="K498" s="113"/>
      <c r="L498" s="113"/>
      <c r="M498" s="113"/>
      <c r="N498" s="113"/>
    </row>
    <row r="499" spans="1:14" s="153" customFormat="1" ht="15.75" customHeight="1">
      <c r="A499" s="137" t="s">
        <v>57</v>
      </c>
      <c r="B499" s="145">
        <v>410</v>
      </c>
      <c r="C499" s="151"/>
      <c r="D499" s="145"/>
      <c r="E499" s="145"/>
      <c r="F499" s="151"/>
      <c r="G499" s="152"/>
      <c r="H499" s="118">
        <f aca="true" t="shared" si="47" ref="H499:H509">I499+J499+K499+L499+M499+N499</f>
        <v>0</v>
      </c>
      <c r="I499" s="125"/>
      <c r="J499" s="125"/>
      <c r="K499" s="113"/>
      <c r="L499" s="113"/>
      <c r="M499" s="113"/>
      <c r="N499" s="113"/>
    </row>
    <row r="500" spans="1:14" s="153" customFormat="1" ht="13.5" customHeight="1">
      <c r="A500" s="137" t="s">
        <v>58</v>
      </c>
      <c r="B500" s="115">
        <v>420</v>
      </c>
      <c r="C500" s="115"/>
      <c r="D500" s="115"/>
      <c r="E500" s="115"/>
      <c r="F500" s="115"/>
      <c r="G500" s="122"/>
      <c r="H500" s="118">
        <f t="shared" si="47"/>
        <v>0</v>
      </c>
      <c r="I500" s="125"/>
      <c r="J500" s="125"/>
      <c r="K500" s="113"/>
      <c r="L500" s="113"/>
      <c r="M500" s="113"/>
      <c r="N500" s="113"/>
    </row>
    <row r="501" spans="1:14" s="153" customFormat="1" ht="28.5" customHeight="1">
      <c r="A501" s="137" t="s">
        <v>337</v>
      </c>
      <c r="B501" s="115">
        <v>500</v>
      </c>
      <c r="C501" s="115" t="s">
        <v>10</v>
      </c>
      <c r="D501" s="115"/>
      <c r="E501" s="115"/>
      <c r="F501" s="115" t="s">
        <v>10</v>
      </c>
      <c r="G501" s="122"/>
      <c r="H501" s="118">
        <f t="shared" si="47"/>
        <v>0</v>
      </c>
      <c r="I501" s="125">
        <f>I502+I503</f>
        <v>0</v>
      </c>
      <c r="J501" s="125">
        <f>J502+J503</f>
        <v>0</v>
      </c>
      <c r="K501" s="125">
        <f>K502+K503</f>
        <v>0</v>
      </c>
      <c r="L501" s="125">
        <f>L502+L503</f>
        <v>0</v>
      </c>
      <c r="M501" s="125">
        <f>M502+M503+M504+M505+M506+M507</f>
        <v>0</v>
      </c>
      <c r="N501" s="125">
        <f>N502+N503</f>
        <v>0</v>
      </c>
    </row>
    <row r="502" spans="1:14" s="153" customFormat="1" ht="18" customHeight="1">
      <c r="A502" s="137" t="s">
        <v>59</v>
      </c>
      <c r="B502" s="115"/>
      <c r="C502" s="115">
        <v>131</v>
      </c>
      <c r="D502" s="115">
        <v>800000000</v>
      </c>
      <c r="E502" s="115"/>
      <c r="F502" s="115">
        <v>131</v>
      </c>
      <c r="G502" s="102" t="s">
        <v>532</v>
      </c>
      <c r="H502" s="118">
        <f t="shared" si="47"/>
        <v>0</v>
      </c>
      <c r="I502" s="154">
        <v>0</v>
      </c>
      <c r="J502" s="125"/>
      <c r="K502" s="113"/>
      <c r="L502" s="113"/>
      <c r="M502" s="113"/>
      <c r="N502" s="113"/>
    </row>
    <row r="503" spans="1:14" s="153" customFormat="1" ht="18" customHeight="1">
      <c r="A503" s="137" t="s">
        <v>59</v>
      </c>
      <c r="B503" s="115"/>
      <c r="C503" s="115">
        <v>152</v>
      </c>
      <c r="D503" s="115">
        <v>901480000</v>
      </c>
      <c r="E503" s="115"/>
      <c r="F503" s="115">
        <v>152</v>
      </c>
      <c r="G503" s="122" t="s">
        <v>535</v>
      </c>
      <c r="H503" s="118">
        <f t="shared" si="47"/>
        <v>0</v>
      </c>
      <c r="I503" s="154">
        <v>0</v>
      </c>
      <c r="J503" s="125"/>
      <c r="K503" s="113"/>
      <c r="L503" s="113"/>
      <c r="M503" s="113"/>
      <c r="N503" s="113"/>
    </row>
    <row r="504" spans="1:14" s="153" customFormat="1" ht="18" customHeight="1">
      <c r="A504" s="137" t="s">
        <v>59</v>
      </c>
      <c r="B504" s="115"/>
      <c r="C504" s="115">
        <v>121</v>
      </c>
      <c r="D504" s="116" t="s">
        <v>521</v>
      </c>
      <c r="E504" s="115"/>
      <c r="F504" s="115">
        <v>121</v>
      </c>
      <c r="G504" s="102" t="s">
        <v>533</v>
      </c>
      <c r="H504" s="118">
        <f t="shared" si="47"/>
        <v>0</v>
      </c>
      <c r="I504" s="154">
        <v>0</v>
      </c>
      <c r="J504" s="125"/>
      <c r="K504" s="113"/>
      <c r="L504" s="113"/>
      <c r="M504" s="113"/>
      <c r="N504" s="113"/>
    </row>
    <row r="505" spans="1:14" s="153" customFormat="1" ht="18" customHeight="1">
      <c r="A505" s="137" t="s">
        <v>59</v>
      </c>
      <c r="B505" s="115"/>
      <c r="C505" s="115">
        <v>131</v>
      </c>
      <c r="D505" s="116" t="s">
        <v>521</v>
      </c>
      <c r="E505" s="115"/>
      <c r="F505" s="115">
        <v>131</v>
      </c>
      <c r="G505" s="102" t="s">
        <v>533</v>
      </c>
      <c r="H505" s="118">
        <f t="shared" si="47"/>
        <v>0</v>
      </c>
      <c r="I505" s="154">
        <v>0</v>
      </c>
      <c r="J505" s="125"/>
      <c r="K505" s="113"/>
      <c r="L505" s="113"/>
      <c r="M505" s="113"/>
      <c r="N505" s="113"/>
    </row>
    <row r="506" spans="1:14" s="153" customFormat="1" ht="18" customHeight="1">
      <c r="A506" s="137" t="s">
        <v>59</v>
      </c>
      <c r="B506" s="115"/>
      <c r="C506" s="115">
        <v>135</v>
      </c>
      <c r="D506" s="116" t="s">
        <v>521</v>
      </c>
      <c r="E506" s="115"/>
      <c r="F506" s="115">
        <v>135</v>
      </c>
      <c r="G506" s="102" t="s">
        <v>533</v>
      </c>
      <c r="H506" s="118">
        <f t="shared" si="47"/>
        <v>0</v>
      </c>
      <c r="I506" s="154">
        <v>0</v>
      </c>
      <c r="J506" s="125"/>
      <c r="K506" s="113"/>
      <c r="L506" s="113"/>
      <c r="M506" s="113"/>
      <c r="N506" s="113"/>
    </row>
    <row r="507" spans="1:14" s="153" customFormat="1" ht="18" customHeight="1">
      <c r="A507" s="137" t="s">
        <v>59</v>
      </c>
      <c r="B507" s="115"/>
      <c r="C507" s="115">
        <v>189</v>
      </c>
      <c r="D507" s="116" t="s">
        <v>521</v>
      </c>
      <c r="E507" s="115"/>
      <c r="F507" s="115">
        <v>189</v>
      </c>
      <c r="G507" s="102" t="s">
        <v>533</v>
      </c>
      <c r="H507" s="118">
        <f t="shared" si="47"/>
        <v>0</v>
      </c>
      <c r="I507" s="154">
        <v>0</v>
      </c>
      <c r="J507" s="125"/>
      <c r="K507" s="113"/>
      <c r="L507" s="113"/>
      <c r="M507" s="113"/>
      <c r="N507" s="113"/>
    </row>
    <row r="508" spans="1:14" s="153" customFormat="1" ht="18" customHeight="1">
      <c r="A508" s="137" t="s">
        <v>60</v>
      </c>
      <c r="B508" s="115">
        <v>600</v>
      </c>
      <c r="C508" s="115" t="s">
        <v>10</v>
      </c>
      <c r="D508" s="115"/>
      <c r="E508" s="115"/>
      <c r="F508" s="115" t="s">
        <v>10</v>
      </c>
      <c r="G508" s="122"/>
      <c r="H508" s="155">
        <f t="shared" si="47"/>
        <v>0</v>
      </c>
      <c r="I508" s="156">
        <f>I355-I411</f>
        <v>0</v>
      </c>
      <c r="J508" s="156">
        <f>J355-J411</f>
        <v>0</v>
      </c>
      <c r="K508" s="156"/>
      <c r="L508" s="156"/>
      <c r="M508" s="156">
        <f>M355-M411</f>
        <v>0</v>
      </c>
      <c r="N508" s="120"/>
    </row>
    <row r="509" spans="1:14" s="153" customFormat="1" ht="18" customHeight="1">
      <c r="A509" s="137" t="s">
        <v>60</v>
      </c>
      <c r="B509" s="115">
        <v>600</v>
      </c>
      <c r="C509" s="115" t="s">
        <v>10</v>
      </c>
      <c r="D509" s="115"/>
      <c r="E509" s="115"/>
      <c r="F509" s="115" t="s">
        <v>10</v>
      </c>
      <c r="G509" s="122"/>
      <c r="H509" s="155">
        <f t="shared" si="47"/>
        <v>0</v>
      </c>
      <c r="I509" s="156">
        <f>I355-I411</f>
        <v>0</v>
      </c>
      <c r="J509" s="156">
        <f>J355-J411</f>
        <v>0</v>
      </c>
      <c r="K509" s="156"/>
      <c r="L509" s="156"/>
      <c r="M509" s="156">
        <f>M355-M411</f>
        <v>0</v>
      </c>
      <c r="N509" s="120"/>
    </row>
    <row r="510" spans="1:14" ht="15">
      <c r="A510" s="39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</row>
  </sheetData>
  <sheetProtection/>
  <mergeCells count="53">
    <mergeCell ref="J352:J353"/>
    <mergeCell ref="C6:C9"/>
    <mergeCell ref="C186:C189"/>
    <mergeCell ref="C350:C353"/>
    <mergeCell ref="G6:G9"/>
    <mergeCell ref="H6:N6"/>
    <mergeCell ref="H7:H9"/>
    <mergeCell ref="M8:N8"/>
    <mergeCell ref="I7:N7"/>
    <mergeCell ref="I8:I9"/>
    <mergeCell ref="A1:N1"/>
    <mergeCell ref="A6:A9"/>
    <mergeCell ref="B6:B9"/>
    <mergeCell ref="F6:F9"/>
    <mergeCell ref="H4:K4"/>
    <mergeCell ref="H3:K3"/>
    <mergeCell ref="L8:L9"/>
    <mergeCell ref="J8:J9"/>
    <mergeCell ref="D6:D9"/>
    <mergeCell ref="E6:E9"/>
    <mergeCell ref="G186:G189"/>
    <mergeCell ref="H186:N186"/>
    <mergeCell ref="H187:H189"/>
    <mergeCell ref="K8:K9"/>
    <mergeCell ref="I187:N187"/>
    <mergeCell ref="I188:I189"/>
    <mergeCell ref="K188:K189"/>
    <mergeCell ref="I351:N351"/>
    <mergeCell ref="H182:K182"/>
    <mergeCell ref="H183:K183"/>
    <mergeCell ref="H184:K184"/>
    <mergeCell ref="A186:A189"/>
    <mergeCell ref="B186:B189"/>
    <mergeCell ref="D186:D189"/>
    <mergeCell ref="E186:E189"/>
    <mergeCell ref="J188:J189"/>
    <mergeCell ref="F186:F189"/>
    <mergeCell ref="A350:A353"/>
    <mergeCell ref="B350:B353"/>
    <mergeCell ref="D350:D353"/>
    <mergeCell ref="E350:E353"/>
    <mergeCell ref="F350:F353"/>
    <mergeCell ref="G350:G353"/>
    <mergeCell ref="K352:K353"/>
    <mergeCell ref="L352:L353"/>
    <mergeCell ref="M352:N352"/>
    <mergeCell ref="L188:L189"/>
    <mergeCell ref="M188:N188"/>
    <mergeCell ref="H347:K347"/>
    <mergeCell ref="H348:K348"/>
    <mergeCell ref="H350:N350"/>
    <mergeCell ref="H351:H353"/>
    <mergeCell ref="I352:I353"/>
  </mergeCells>
  <printOptions/>
  <pageMargins left="0.2755905511811024" right="0" top="0.35433070866141736" bottom="0.15748031496062992" header="0.15748031496062992" footer="0.2362204724409449"/>
  <pageSetup fitToHeight="9" horizontalDpi="600" verticalDpi="600" orientation="portrait" paperSize="9" scale="65" r:id="rId1"/>
  <rowBreaks count="8" manualBreakCount="8">
    <brk id="56" max="13" man="1"/>
    <brk id="115" max="13" man="1"/>
    <brk id="180" max="13" man="1"/>
    <brk id="237" max="13" man="1"/>
    <brk id="290" max="13" man="1"/>
    <brk id="344" max="13" man="1"/>
    <brk id="398" max="13" man="1"/>
    <brk id="4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E37"/>
  <sheetViews>
    <sheetView zoomScalePageLayoutView="0" workbookViewId="0" topLeftCell="A31">
      <selection activeCell="B35" sqref="B35"/>
    </sheetView>
  </sheetViews>
  <sheetFormatPr defaultColWidth="9.140625" defaultRowHeight="15"/>
  <cols>
    <col min="1" max="1" width="5.7109375" style="0" customWidth="1"/>
    <col min="2" max="2" width="21.57421875" style="0" customWidth="1"/>
    <col min="3" max="3" width="31.421875" style="0" customWidth="1"/>
    <col min="4" max="4" width="17.00390625" style="0" customWidth="1"/>
    <col min="5" max="5" width="19.00390625" style="0" customWidth="1"/>
  </cols>
  <sheetData>
    <row r="3" spans="2:5" ht="30.75" customHeight="1">
      <c r="B3" s="56" t="s">
        <v>221</v>
      </c>
      <c r="C3" s="56" t="s">
        <v>1</v>
      </c>
      <c r="D3" s="56" t="s">
        <v>168</v>
      </c>
      <c r="E3" s="56" t="s">
        <v>172</v>
      </c>
    </row>
    <row r="4" spans="2:5" ht="38.25">
      <c r="B4" s="81" t="s">
        <v>408</v>
      </c>
      <c r="C4" s="87" t="s">
        <v>171</v>
      </c>
      <c r="D4" s="85" t="s">
        <v>169</v>
      </c>
      <c r="E4" s="55" t="s">
        <v>420</v>
      </c>
    </row>
    <row r="5" spans="2:5" ht="76.5">
      <c r="B5" s="81" t="s">
        <v>409</v>
      </c>
      <c r="C5" s="87" t="s">
        <v>170</v>
      </c>
      <c r="D5" s="85" t="s">
        <v>169</v>
      </c>
      <c r="E5" s="55" t="s">
        <v>339</v>
      </c>
    </row>
    <row r="6" spans="2:5" ht="63.75">
      <c r="B6" s="81" t="s">
        <v>412</v>
      </c>
      <c r="C6" s="87" t="s">
        <v>173</v>
      </c>
      <c r="D6" s="85" t="s">
        <v>169</v>
      </c>
      <c r="E6" s="55" t="s">
        <v>174</v>
      </c>
    </row>
    <row r="7" spans="2:5" ht="80.25" customHeight="1">
      <c r="B7" s="81" t="s">
        <v>413</v>
      </c>
      <c r="C7" s="87" t="s">
        <v>175</v>
      </c>
      <c r="D7" s="85" t="s">
        <v>176</v>
      </c>
      <c r="E7" s="55" t="s">
        <v>174</v>
      </c>
    </row>
    <row r="8" spans="2:5" ht="76.5">
      <c r="B8" s="81" t="s">
        <v>414</v>
      </c>
      <c r="C8" s="87" t="s">
        <v>177</v>
      </c>
      <c r="D8" s="85" t="s">
        <v>176</v>
      </c>
      <c r="E8" s="55" t="s">
        <v>178</v>
      </c>
    </row>
    <row r="9" spans="2:5" ht="25.5">
      <c r="B9" s="81" t="s">
        <v>411</v>
      </c>
      <c r="C9" s="87" t="s">
        <v>465</v>
      </c>
      <c r="D9" s="85" t="s">
        <v>479</v>
      </c>
      <c r="E9" s="55" t="s">
        <v>179</v>
      </c>
    </row>
    <row r="10" spans="2:5" ht="38.25">
      <c r="B10" s="81" t="s">
        <v>410</v>
      </c>
      <c r="C10" s="87" t="s">
        <v>180</v>
      </c>
      <c r="D10" s="85" t="s">
        <v>169</v>
      </c>
      <c r="E10" s="55" t="s">
        <v>181</v>
      </c>
    </row>
    <row r="11" spans="2:5" ht="102">
      <c r="B11" s="81" t="s">
        <v>415</v>
      </c>
      <c r="C11" s="87" t="s">
        <v>171</v>
      </c>
      <c r="D11" s="85" t="s">
        <v>186</v>
      </c>
      <c r="E11" s="55" t="s">
        <v>341</v>
      </c>
    </row>
    <row r="12" spans="2:5" ht="76.5">
      <c r="B12" s="81" t="s">
        <v>416</v>
      </c>
      <c r="C12" s="87" t="s">
        <v>170</v>
      </c>
      <c r="D12" s="85" t="s">
        <v>183</v>
      </c>
      <c r="E12" s="55" t="s">
        <v>340</v>
      </c>
    </row>
    <row r="13" spans="2:5" ht="216.75">
      <c r="B13" s="81" t="s">
        <v>417</v>
      </c>
      <c r="C13" s="88" t="s">
        <v>184</v>
      </c>
      <c r="D13" s="85" t="s">
        <v>185</v>
      </c>
      <c r="E13" s="55" t="s">
        <v>187</v>
      </c>
    </row>
    <row r="14" spans="2:5" ht="217.5" customHeight="1">
      <c r="B14" s="81" t="s">
        <v>418</v>
      </c>
      <c r="C14" s="88" t="s">
        <v>184</v>
      </c>
      <c r="D14" s="85" t="s">
        <v>185</v>
      </c>
      <c r="E14" s="55" t="s">
        <v>187</v>
      </c>
    </row>
    <row r="15" spans="2:5" ht="76.5">
      <c r="B15" s="81" t="s">
        <v>468</v>
      </c>
      <c r="C15" s="86" t="s">
        <v>188</v>
      </c>
      <c r="D15" s="85" t="s">
        <v>189</v>
      </c>
      <c r="E15" s="55" t="s">
        <v>222</v>
      </c>
    </row>
    <row r="16" spans="2:5" ht="25.5">
      <c r="B16" s="81" t="s">
        <v>459</v>
      </c>
      <c r="C16" s="86" t="s">
        <v>460</v>
      </c>
      <c r="D16" s="85" t="s">
        <v>461</v>
      </c>
      <c r="E16" s="55" t="s">
        <v>462</v>
      </c>
    </row>
    <row r="17" spans="2:5" ht="38.25">
      <c r="B17" s="81" t="s">
        <v>463</v>
      </c>
      <c r="C17" s="87" t="s">
        <v>190</v>
      </c>
      <c r="D17" s="85" t="s">
        <v>182</v>
      </c>
      <c r="E17" s="55" t="s">
        <v>192</v>
      </c>
    </row>
    <row r="18" spans="2:5" ht="76.5">
      <c r="B18" s="81" t="s">
        <v>464</v>
      </c>
      <c r="C18" s="87" t="s">
        <v>191</v>
      </c>
      <c r="D18" s="85" t="s">
        <v>182</v>
      </c>
      <c r="E18" s="55" t="s">
        <v>193</v>
      </c>
    </row>
    <row r="19" spans="2:5" ht="63.75">
      <c r="B19" s="81" t="s">
        <v>209</v>
      </c>
      <c r="C19" s="86" t="s">
        <v>170</v>
      </c>
      <c r="D19" s="85" t="s">
        <v>354</v>
      </c>
      <c r="E19" s="55" t="s">
        <v>355</v>
      </c>
    </row>
    <row r="20" spans="2:5" ht="25.5">
      <c r="B20" s="81" t="s">
        <v>198</v>
      </c>
      <c r="C20" s="86" t="s">
        <v>195</v>
      </c>
      <c r="D20" s="85" t="s">
        <v>194</v>
      </c>
      <c r="E20" s="55" t="s">
        <v>197</v>
      </c>
    </row>
    <row r="21" spans="2:5" ht="25.5">
      <c r="B21" s="81" t="s">
        <v>466</v>
      </c>
      <c r="C21" s="86" t="s">
        <v>196</v>
      </c>
      <c r="D21" s="85" t="s">
        <v>194</v>
      </c>
      <c r="E21" s="55" t="s">
        <v>197</v>
      </c>
    </row>
    <row r="22" spans="2:5" ht="81.75" customHeight="1">
      <c r="B22" s="81" t="s">
        <v>467</v>
      </c>
      <c r="C22" s="86" t="s">
        <v>170</v>
      </c>
      <c r="D22" s="85" t="s">
        <v>223</v>
      </c>
      <c r="E22" s="87" t="s">
        <v>201</v>
      </c>
    </row>
    <row r="23" spans="2:5" ht="63.75">
      <c r="B23" s="81" t="s">
        <v>470</v>
      </c>
      <c r="C23" s="87" t="s">
        <v>170</v>
      </c>
      <c r="D23" s="85" t="s">
        <v>469</v>
      </c>
      <c r="E23" s="87" t="s">
        <v>199</v>
      </c>
    </row>
    <row r="24" spans="2:5" ht="51">
      <c r="B24" s="81" t="s">
        <v>476</v>
      </c>
      <c r="C24" s="87" t="s">
        <v>202</v>
      </c>
      <c r="D24" s="85" t="s">
        <v>223</v>
      </c>
      <c r="E24" s="55" t="s">
        <v>285</v>
      </c>
    </row>
    <row r="25" spans="2:5" ht="38.25">
      <c r="B25" s="81" t="s">
        <v>419</v>
      </c>
      <c r="C25" s="87" t="s">
        <v>204</v>
      </c>
      <c r="D25" s="85" t="s">
        <v>176</v>
      </c>
      <c r="E25" s="55" t="s">
        <v>283</v>
      </c>
    </row>
    <row r="26" spans="2:5" ht="45.75" customHeight="1">
      <c r="B26" s="81" t="s">
        <v>477</v>
      </c>
      <c r="C26" s="87" t="s">
        <v>203</v>
      </c>
      <c r="D26" s="85" t="s">
        <v>223</v>
      </c>
      <c r="E26" s="55" t="s">
        <v>284</v>
      </c>
    </row>
    <row r="27" spans="2:5" ht="38.25">
      <c r="B27" s="81" t="s">
        <v>478</v>
      </c>
      <c r="C27" s="87" t="s">
        <v>205</v>
      </c>
      <c r="D27" s="85" t="s">
        <v>182</v>
      </c>
      <c r="E27" s="55" t="s">
        <v>286</v>
      </c>
    </row>
    <row r="28" spans="2:5" ht="51">
      <c r="B28" s="81" t="s">
        <v>471</v>
      </c>
      <c r="C28" s="87" t="s">
        <v>206</v>
      </c>
      <c r="D28" s="85" t="s">
        <v>176</v>
      </c>
      <c r="E28" s="55" t="s">
        <v>207</v>
      </c>
    </row>
    <row r="29" spans="2:5" ht="51">
      <c r="B29" s="186" t="s">
        <v>472</v>
      </c>
      <c r="C29" s="87" t="s">
        <v>206</v>
      </c>
      <c r="D29" s="85" t="s">
        <v>176</v>
      </c>
      <c r="E29" s="55" t="s">
        <v>208</v>
      </c>
    </row>
    <row r="30" spans="2:5" ht="89.25">
      <c r="B30" s="81" t="s">
        <v>480</v>
      </c>
      <c r="C30" s="88" t="s">
        <v>212</v>
      </c>
      <c r="D30" s="85" t="s">
        <v>182</v>
      </c>
      <c r="E30" s="55" t="s">
        <v>213</v>
      </c>
    </row>
    <row r="31" spans="2:5" ht="38.25">
      <c r="B31" s="186" t="s">
        <v>481</v>
      </c>
      <c r="C31" s="87" t="s">
        <v>214</v>
      </c>
      <c r="D31" s="85" t="s">
        <v>194</v>
      </c>
      <c r="E31" s="55" t="s">
        <v>215</v>
      </c>
    </row>
    <row r="32" spans="2:5" ht="51">
      <c r="B32" s="186" t="s">
        <v>482</v>
      </c>
      <c r="C32" s="87" t="s">
        <v>216</v>
      </c>
      <c r="D32" s="85" t="s">
        <v>182</v>
      </c>
      <c r="E32" s="55" t="s">
        <v>217</v>
      </c>
    </row>
    <row r="33" spans="2:5" ht="38.25">
      <c r="B33" s="186" t="s">
        <v>483</v>
      </c>
      <c r="C33" s="87" t="s">
        <v>218</v>
      </c>
      <c r="D33" s="85" t="s">
        <v>182</v>
      </c>
      <c r="E33" s="55" t="s">
        <v>219</v>
      </c>
    </row>
    <row r="34" spans="2:5" ht="63.75">
      <c r="B34" s="81" t="s">
        <v>484</v>
      </c>
      <c r="C34" s="87" t="s">
        <v>170</v>
      </c>
      <c r="D34" s="85" t="s">
        <v>194</v>
      </c>
      <c r="E34" s="55" t="s">
        <v>220</v>
      </c>
    </row>
    <row r="35" spans="2:5" ht="38.25">
      <c r="B35" s="186" t="s">
        <v>485</v>
      </c>
      <c r="C35" s="87" t="s">
        <v>171</v>
      </c>
      <c r="D35" s="85" t="s">
        <v>182</v>
      </c>
      <c r="E35" s="55" t="s">
        <v>224</v>
      </c>
    </row>
    <row r="36" spans="2:5" ht="25.5">
      <c r="B36" s="85" t="s">
        <v>473</v>
      </c>
      <c r="C36" s="86" t="s">
        <v>474</v>
      </c>
      <c r="D36" s="89"/>
      <c r="E36" s="55" t="s">
        <v>475</v>
      </c>
    </row>
    <row r="37" spans="2:5" ht="38.25">
      <c r="B37" s="85" t="s">
        <v>458</v>
      </c>
      <c r="C37" s="86" t="s">
        <v>200</v>
      </c>
      <c r="D37" s="89"/>
      <c r="E37" s="55" t="s">
        <v>475</v>
      </c>
    </row>
  </sheetData>
  <sheetProtection/>
  <autoFilter ref="B3:E35"/>
  <printOptions/>
  <pageMargins left="0.19" right="0.17" top="0.21" bottom="0.16" header="0.16" footer="0.16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E64"/>
  <sheetViews>
    <sheetView zoomScalePageLayoutView="0" workbookViewId="0" topLeftCell="A4">
      <selection activeCell="B18" sqref="B18"/>
    </sheetView>
  </sheetViews>
  <sheetFormatPr defaultColWidth="9.140625" defaultRowHeight="15"/>
  <cols>
    <col min="2" max="2" width="16.140625" style="0" customWidth="1"/>
    <col min="3" max="3" width="109.421875" style="0" customWidth="1"/>
    <col min="4" max="4" width="10.00390625" style="0" customWidth="1"/>
    <col min="5" max="5" width="10.7109375" style="0" customWidth="1"/>
  </cols>
  <sheetData>
    <row r="3" spans="2:3" ht="15">
      <c r="B3" s="58" t="s">
        <v>163</v>
      </c>
      <c r="C3" s="58" t="s">
        <v>237</v>
      </c>
    </row>
    <row r="4" spans="2:3" ht="15">
      <c r="B4" s="51">
        <v>0</v>
      </c>
      <c r="C4" s="61" t="s">
        <v>227</v>
      </c>
    </row>
    <row r="5" spans="2:3" ht="15">
      <c r="B5" s="51">
        <v>80000</v>
      </c>
      <c r="C5" s="60" t="s">
        <v>226</v>
      </c>
    </row>
    <row r="6" spans="2:5" ht="15">
      <c r="B6" s="58">
        <v>90100</v>
      </c>
      <c r="C6" s="59" t="s">
        <v>225</v>
      </c>
      <c r="D6" s="57"/>
      <c r="E6" s="57"/>
    </row>
    <row r="7" spans="2:3" ht="15">
      <c r="B7" s="185">
        <v>901010000</v>
      </c>
      <c r="C7" s="60" t="s">
        <v>228</v>
      </c>
    </row>
    <row r="8" spans="2:3" ht="15">
      <c r="B8" s="185">
        <v>901020000</v>
      </c>
      <c r="C8" s="60" t="s">
        <v>229</v>
      </c>
    </row>
    <row r="9" spans="2:3" ht="15">
      <c r="B9" s="185">
        <v>901030000</v>
      </c>
      <c r="C9" s="60" t="s">
        <v>230</v>
      </c>
    </row>
    <row r="10" spans="2:3" ht="15">
      <c r="B10" s="185">
        <v>901040000</v>
      </c>
      <c r="C10" s="60" t="s">
        <v>231</v>
      </c>
    </row>
    <row r="11" spans="2:3" ht="15">
      <c r="B11" s="185">
        <v>901050000</v>
      </c>
      <c r="C11" s="60" t="s">
        <v>232</v>
      </c>
    </row>
    <row r="12" spans="2:3" ht="30">
      <c r="B12" s="51">
        <v>901060000</v>
      </c>
      <c r="C12" s="60" t="s">
        <v>421</v>
      </c>
    </row>
    <row r="13" spans="2:3" ht="30">
      <c r="B13" s="51">
        <v>901070000</v>
      </c>
      <c r="C13" s="60" t="s">
        <v>233</v>
      </c>
    </row>
    <row r="14" spans="2:3" ht="15">
      <c r="B14" s="51">
        <v>901100000</v>
      </c>
      <c r="C14" s="60" t="s">
        <v>422</v>
      </c>
    </row>
    <row r="15" spans="2:3" ht="15">
      <c r="B15" s="185">
        <v>901140000</v>
      </c>
      <c r="C15" s="60" t="s">
        <v>234</v>
      </c>
    </row>
    <row r="16" spans="2:3" ht="15">
      <c r="B16" s="185">
        <v>901150000</v>
      </c>
      <c r="C16" s="60" t="s">
        <v>235</v>
      </c>
    </row>
    <row r="17" spans="2:3" ht="15">
      <c r="B17" s="185">
        <v>901160000</v>
      </c>
      <c r="C17" s="60" t="s">
        <v>236</v>
      </c>
    </row>
    <row r="18" spans="2:3" ht="30">
      <c r="B18" s="185">
        <v>901170000</v>
      </c>
      <c r="C18" s="60" t="s">
        <v>238</v>
      </c>
    </row>
    <row r="19" spans="2:3" ht="45">
      <c r="B19" s="51">
        <v>901180000</v>
      </c>
      <c r="C19" s="60" t="s">
        <v>239</v>
      </c>
    </row>
    <row r="20" spans="2:3" ht="15">
      <c r="B20" s="51">
        <v>901190000</v>
      </c>
      <c r="C20" s="60" t="s">
        <v>240</v>
      </c>
    </row>
    <row r="21" spans="2:3" ht="15">
      <c r="B21" s="51">
        <v>901200000</v>
      </c>
      <c r="C21" s="60" t="s">
        <v>423</v>
      </c>
    </row>
    <row r="22" spans="2:3" ht="15">
      <c r="B22" s="51">
        <v>901210000</v>
      </c>
      <c r="C22" s="60" t="s">
        <v>241</v>
      </c>
    </row>
    <row r="23" spans="2:3" ht="30">
      <c r="B23" s="51">
        <v>901220000</v>
      </c>
      <c r="C23" s="60" t="s">
        <v>242</v>
      </c>
    </row>
    <row r="24" spans="2:3" ht="30">
      <c r="B24" s="51">
        <v>901230000</v>
      </c>
      <c r="C24" s="60" t="s">
        <v>243</v>
      </c>
    </row>
    <row r="25" spans="2:3" ht="15">
      <c r="B25" s="51">
        <v>901240000</v>
      </c>
      <c r="C25" s="60" t="s">
        <v>244</v>
      </c>
    </row>
    <row r="26" spans="2:3" ht="15">
      <c r="B26" s="51">
        <v>901250000</v>
      </c>
      <c r="C26" s="60" t="s">
        <v>245</v>
      </c>
    </row>
    <row r="27" spans="2:3" ht="15">
      <c r="B27" s="51">
        <v>901260000</v>
      </c>
      <c r="C27" s="60" t="s">
        <v>246</v>
      </c>
    </row>
    <row r="28" spans="2:3" ht="15">
      <c r="B28" s="51">
        <v>901270000</v>
      </c>
      <c r="C28" s="60" t="s">
        <v>247</v>
      </c>
    </row>
    <row r="29" spans="2:3" ht="15">
      <c r="B29" s="51">
        <v>901300000</v>
      </c>
      <c r="C29" s="60" t="s">
        <v>248</v>
      </c>
    </row>
    <row r="30" spans="2:3" ht="15">
      <c r="B30" s="51">
        <v>901310000</v>
      </c>
      <c r="C30" s="60" t="s">
        <v>249</v>
      </c>
    </row>
    <row r="31" spans="2:3" ht="30">
      <c r="B31" s="51">
        <v>9013200000</v>
      </c>
      <c r="C31" s="60" t="s">
        <v>250</v>
      </c>
    </row>
    <row r="32" spans="2:3" ht="15">
      <c r="B32" s="51">
        <v>9013300000</v>
      </c>
      <c r="C32" s="60" t="s">
        <v>424</v>
      </c>
    </row>
    <row r="33" spans="2:3" ht="14.25" customHeight="1">
      <c r="B33" s="51">
        <v>9013600000</v>
      </c>
      <c r="C33" s="60" t="s">
        <v>251</v>
      </c>
    </row>
    <row r="34" spans="2:3" ht="15">
      <c r="B34" s="51">
        <v>9013700000</v>
      </c>
      <c r="C34" s="60" t="s">
        <v>252</v>
      </c>
    </row>
    <row r="35" spans="2:3" ht="15">
      <c r="B35" s="51">
        <v>9013900000</v>
      </c>
      <c r="C35" s="60" t="s">
        <v>253</v>
      </c>
    </row>
    <row r="36" spans="2:3" ht="30">
      <c r="B36" s="51">
        <v>9014200000</v>
      </c>
      <c r="C36" s="60" t="s">
        <v>254</v>
      </c>
    </row>
    <row r="37" spans="2:3" ht="30">
      <c r="B37" s="51">
        <v>9014400000</v>
      </c>
      <c r="C37" s="60" t="s">
        <v>255</v>
      </c>
    </row>
    <row r="38" spans="2:3" ht="15">
      <c r="B38" s="51">
        <v>9014700000</v>
      </c>
      <c r="C38" s="60" t="s">
        <v>256</v>
      </c>
    </row>
    <row r="39" spans="2:3" ht="15">
      <c r="B39" s="51">
        <v>9014800000</v>
      </c>
      <c r="C39" s="60" t="s">
        <v>257</v>
      </c>
    </row>
    <row r="40" spans="2:3" ht="15">
      <c r="B40" s="51">
        <v>9014900000</v>
      </c>
      <c r="C40" s="60" t="s">
        <v>258</v>
      </c>
    </row>
    <row r="41" spans="2:3" ht="15">
      <c r="B41" s="51">
        <v>9015200000</v>
      </c>
      <c r="C41" s="60" t="s">
        <v>259</v>
      </c>
    </row>
    <row r="42" spans="2:3" ht="30">
      <c r="B42" s="51">
        <v>9015400000</v>
      </c>
      <c r="C42" s="60" t="s">
        <v>260</v>
      </c>
    </row>
    <row r="43" spans="2:3" ht="15">
      <c r="B43" s="51">
        <v>9015600000</v>
      </c>
      <c r="C43" s="60" t="s">
        <v>261</v>
      </c>
    </row>
    <row r="44" spans="2:3" ht="15">
      <c r="B44" s="51">
        <v>9016900000</v>
      </c>
      <c r="C44" s="60" t="s">
        <v>262</v>
      </c>
    </row>
    <row r="45" spans="2:3" ht="30">
      <c r="B45" s="51">
        <v>9017100000</v>
      </c>
      <c r="C45" s="60" t="s">
        <v>263</v>
      </c>
    </row>
    <row r="46" spans="2:3" ht="30">
      <c r="B46" s="51">
        <v>901720000</v>
      </c>
      <c r="C46" s="60" t="s">
        <v>264</v>
      </c>
    </row>
    <row r="47" spans="2:3" ht="15">
      <c r="B47" s="51">
        <v>901730000</v>
      </c>
      <c r="C47" s="60" t="s">
        <v>265</v>
      </c>
    </row>
    <row r="48" spans="2:3" ht="15">
      <c r="B48" s="51">
        <v>901750000</v>
      </c>
      <c r="C48" s="60" t="s">
        <v>266</v>
      </c>
    </row>
    <row r="49" spans="2:3" ht="30">
      <c r="B49" s="51">
        <v>901760000</v>
      </c>
      <c r="C49" s="60" t="s">
        <v>267</v>
      </c>
    </row>
    <row r="50" spans="2:3" ht="45">
      <c r="B50" s="51">
        <v>901770000</v>
      </c>
      <c r="C50" s="60" t="s">
        <v>268</v>
      </c>
    </row>
    <row r="51" spans="2:3" ht="15">
      <c r="B51" s="51">
        <v>901790000</v>
      </c>
      <c r="C51" s="60" t="s">
        <v>269</v>
      </c>
    </row>
    <row r="52" spans="2:3" ht="15">
      <c r="B52" s="51">
        <v>901800000</v>
      </c>
      <c r="C52" s="60" t="s">
        <v>270</v>
      </c>
    </row>
    <row r="53" spans="2:3" ht="30">
      <c r="B53" s="51">
        <v>901810000</v>
      </c>
      <c r="C53" s="60" t="s">
        <v>271</v>
      </c>
    </row>
    <row r="54" spans="2:3" ht="15">
      <c r="B54" s="51">
        <v>901820000</v>
      </c>
      <c r="C54" s="60" t="s">
        <v>272</v>
      </c>
    </row>
    <row r="55" spans="2:3" ht="15">
      <c r="B55" s="51">
        <v>901830000</v>
      </c>
      <c r="C55" s="60" t="s">
        <v>273</v>
      </c>
    </row>
    <row r="56" spans="2:3" ht="30">
      <c r="B56" s="51">
        <v>901870000</v>
      </c>
      <c r="C56" s="60" t="s">
        <v>274</v>
      </c>
    </row>
    <row r="57" spans="2:3" ht="15">
      <c r="B57" s="51">
        <v>901880000</v>
      </c>
      <c r="C57" s="60" t="s">
        <v>275</v>
      </c>
    </row>
    <row r="58" spans="2:3" ht="15">
      <c r="B58" s="51">
        <v>901890000</v>
      </c>
      <c r="C58" s="60" t="s">
        <v>276</v>
      </c>
    </row>
    <row r="59" spans="2:3" ht="15">
      <c r="B59" s="51">
        <v>901900000</v>
      </c>
      <c r="C59" s="60" t="s">
        <v>277</v>
      </c>
    </row>
    <row r="60" spans="2:3" ht="30">
      <c r="B60" s="51">
        <v>901910000</v>
      </c>
      <c r="C60" s="60" t="s">
        <v>278</v>
      </c>
    </row>
    <row r="61" spans="2:3" ht="15">
      <c r="B61" s="51">
        <v>901930000</v>
      </c>
      <c r="C61" s="60" t="s">
        <v>279</v>
      </c>
    </row>
    <row r="62" spans="2:3" ht="30">
      <c r="B62" s="51">
        <v>901960000</v>
      </c>
      <c r="C62" s="60" t="s">
        <v>280</v>
      </c>
    </row>
    <row r="63" spans="2:3" ht="23.25" customHeight="1">
      <c r="B63" s="51">
        <v>901980000</v>
      </c>
      <c r="C63" s="60" t="s">
        <v>281</v>
      </c>
    </row>
    <row r="64" spans="2:3" ht="45">
      <c r="B64" s="51">
        <v>901990000</v>
      </c>
      <c r="C64" s="60" t="s">
        <v>282</v>
      </c>
    </row>
  </sheetData>
  <sheetProtection/>
  <printOptions/>
  <pageMargins left="0.7086614173228347" right="0.7086614173228347" top="0.24" bottom="0.33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7" zoomScaleSheetLayoutView="87" zoomScalePageLayoutView="0" workbookViewId="0" topLeftCell="A1">
      <selection activeCell="F5" sqref="F5"/>
    </sheetView>
  </sheetViews>
  <sheetFormatPr defaultColWidth="9.140625" defaultRowHeight="15"/>
  <cols>
    <col min="1" max="1" width="17.140625" style="0" customWidth="1"/>
    <col min="4" max="4" width="17.7109375" style="0" customWidth="1"/>
    <col min="5" max="5" width="15.421875" style="0" customWidth="1"/>
    <col min="6" max="6" width="14.57421875" style="0" customWidth="1"/>
    <col min="7" max="7" width="11.7109375" style="0" customWidth="1"/>
    <col min="8" max="8" width="11.8515625" style="0" customWidth="1"/>
    <col min="9" max="9" width="12.421875" style="0" customWidth="1"/>
    <col min="10" max="10" width="16.421875" style="0" customWidth="1"/>
    <col min="11" max="11" width="17.140625" style="0" customWidth="1"/>
    <col min="12" max="12" width="12.57421875" style="0" customWidth="1"/>
  </cols>
  <sheetData>
    <row r="1" ht="15.75">
      <c r="L1" s="29" t="s">
        <v>61</v>
      </c>
    </row>
    <row r="2" ht="15.75">
      <c r="F2" s="30" t="s">
        <v>62</v>
      </c>
    </row>
    <row r="3" ht="18.75">
      <c r="F3" s="30" t="s">
        <v>63</v>
      </c>
    </row>
    <row r="4" spans="1:7" ht="15.75">
      <c r="A4" s="29"/>
      <c r="E4" s="46"/>
      <c r="F4" s="47" t="s">
        <v>767</v>
      </c>
      <c r="G4" s="46"/>
    </row>
    <row r="5" ht="15.75">
      <c r="A5" s="30"/>
    </row>
    <row r="6" ht="15.75">
      <c r="A6" s="30"/>
    </row>
    <row r="7" spans="1:12" ht="15.75" customHeight="1">
      <c r="A7" s="490" t="s">
        <v>64</v>
      </c>
      <c r="B7" s="490" t="s">
        <v>45</v>
      </c>
      <c r="C7" s="490" t="s">
        <v>65</v>
      </c>
      <c r="D7" s="490" t="s">
        <v>66</v>
      </c>
      <c r="E7" s="490"/>
      <c r="F7" s="490"/>
      <c r="G7" s="490"/>
      <c r="H7" s="490"/>
      <c r="I7" s="490"/>
      <c r="J7" s="490"/>
      <c r="K7" s="490"/>
      <c r="L7" s="490"/>
    </row>
    <row r="8" spans="1:12" ht="15.75">
      <c r="A8" s="490"/>
      <c r="B8" s="490"/>
      <c r="C8" s="490"/>
      <c r="D8" s="490" t="s">
        <v>67</v>
      </c>
      <c r="E8" s="490"/>
      <c r="F8" s="490"/>
      <c r="G8" s="490"/>
      <c r="H8" s="490"/>
      <c r="I8" s="490"/>
      <c r="J8" s="490"/>
      <c r="K8" s="490"/>
      <c r="L8" s="490"/>
    </row>
    <row r="9" spans="1:12" ht="15.75">
      <c r="A9" s="490"/>
      <c r="B9" s="490"/>
      <c r="C9" s="490"/>
      <c r="D9" s="490" t="s">
        <v>68</v>
      </c>
      <c r="E9" s="490"/>
      <c r="F9" s="490"/>
      <c r="G9" s="490" t="s">
        <v>4</v>
      </c>
      <c r="H9" s="490"/>
      <c r="I9" s="490"/>
      <c r="J9" s="490"/>
      <c r="K9" s="490"/>
      <c r="L9" s="490"/>
    </row>
    <row r="10" spans="1:12" ht="47.25" customHeight="1">
      <c r="A10" s="490"/>
      <c r="B10" s="490"/>
      <c r="C10" s="490"/>
      <c r="D10" s="490"/>
      <c r="E10" s="490"/>
      <c r="F10" s="490"/>
      <c r="G10" s="490" t="s">
        <v>69</v>
      </c>
      <c r="H10" s="490"/>
      <c r="I10" s="490"/>
      <c r="J10" s="490" t="s">
        <v>70</v>
      </c>
      <c r="K10" s="490"/>
      <c r="L10" s="490"/>
    </row>
    <row r="11" spans="1:12" ht="50.25" customHeight="1">
      <c r="A11" s="490"/>
      <c r="B11" s="490"/>
      <c r="C11" s="490"/>
      <c r="D11" s="490"/>
      <c r="E11" s="490"/>
      <c r="F11" s="490"/>
      <c r="G11" s="493" t="s">
        <v>288</v>
      </c>
      <c r="H11" s="494"/>
      <c r="I11" s="495"/>
      <c r="J11" s="493" t="s">
        <v>71</v>
      </c>
      <c r="K11" s="494"/>
      <c r="L11" s="495"/>
    </row>
    <row r="12" spans="1:12" ht="78.75" customHeight="1">
      <c r="A12" s="490"/>
      <c r="B12" s="490"/>
      <c r="C12" s="490"/>
      <c r="D12" s="490"/>
      <c r="E12" s="490"/>
      <c r="F12" s="490"/>
      <c r="G12" s="496"/>
      <c r="H12" s="497"/>
      <c r="I12" s="498"/>
      <c r="J12" s="496"/>
      <c r="K12" s="497"/>
      <c r="L12" s="498"/>
    </row>
    <row r="13" spans="1:12" ht="15.75" customHeight="1">
      <c r="A13" s="490"/>
      <c r="B13" s="490"/>
      <c r="C13" s="490"/>
      <c r="D13" s="490" t="s">
        <v>426</v>
      </c>
      <c r="E13" s="490" t="s">
        <v>287</v>
      </c>
      <c r="F13" s="490" t="s">
        <v>427</v>
      </c>
      <c r="G13" s="490" t="s">
        <v>428</v>
      </c>
      <c r="H13" s="490" t="s">
        <v>287</v>
      </c>
      <c r="I13" s="48" t="s">
        <v>429</v>
      </c>
      <c r="J13" s="490" t="s">
        <v>426</v>
      </c>
      <c r="K13" s="490" t="s">
        <v>287</v>
      </c>
      <c r="L13" s="490" t="s">
        <v>427</v>
      </c>
    </row>
    <row r="14" spans="1:12" ht="47.25">
      <c r="A14" s="490"/>
      <c r="B14" s="490"/>
      <c r="C14" s="490"/>
      <c r="D14" s="490"/>
      <c r="E14" s="490"/>
      <c r="F14" s="490"/>
      <c r="G14" s="490"/>
      <c r="H14" s="490"/>
      <c r="I14" s="48" t="s">
        <v>72</v>
      </c>
      <c r="J14" s="490"/>
      <c r="K14" s="490"/>
      <c r="L14" s="490"/>
    </row>
    <row r="15" spans="1:12" ht="15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</row>
    <row r="16" spans="1:12" ht="66.75" customHeight="1">
      <c r="A16" s="31" t="s">
        <v>73</v>
      </c>
      <c r="B16" s="492" t="s">
        <v>76</v>
      </c>
      <c r="C16" s="486" t="s">
        <v>74</v>
      </c>
      <c r="D16" s="487">
        <f aca="true" t="shared" si="0" ref="D16:L16">D29</f>
        <v>11033319.969999999</v>
      </c>
      <c r="E16" s="484">
        <f>K16</f>
        <v>9204226.74</v>
      </c>
      <c r="F16" s="484">
        <f>L16</f>
        <v>9214226.74</v>
      </c>
      <c r="G16" s="484">
        <f t="shared" si="0"/>
        <v>0</v>
      </c>
      <c r="H16" s="484">
        <f t="shared" si="0"/>
        <v>0</v>
      </c>
      <c r="I16" s="484">
        <f t="shared" si="0"/>
        <v>0</v>
      </c>
      <c r="J16" s="484">
        <f t="shared" si="0"/>
        <v>11033319.969999999</v>
      </c>
      <c r="K16" s="484">
        <f t="shared" si="0"/>
        <v>9204226.74</v>
      </c>
      <c r="L16" s="484">
        <f t="shared" si="0"/>
        <v>9214226.74</v>
      </c>
    </row>
    <row r="17" spans="1:12" ht="15.75">
      <c r="A17" s="33" t="s">
        <v>5</v>
      </c>
      <c r="B17" s="492"/>
      <c r="C17" s="486"/>
      <c r="D17" s="488"/>
      <c r="E17" s="489"/>
      <c r="F17" s="489"/>
      <c r="G17" s="489"/>
      <c r="H17" s="489"/>
      <c r="I17" s="489"/>
      <c r="J17" s="489"/>
      <c r="K17" s="489"/>
      <c r="L17" s="489"/>
    </row>
    <row r="18" spans="1:12" ht="15">
      <c r="A18" s="32"/>
      <c r="B18" s="492"/>
      <c r="C18" s="486"/>
      <c r="D18" s="488"/>
      <c r="E18" s="489"/>
      <c r="F18" s="489"/>
      <c r="G18" s="489"/>
      <c r="H18" s="489"/>
      <c r="I18" s="489"/>
      <c r="J18" s="489"/>
      <c r="K18" s="489"/>
      <c r="L18" s="489"/>
    </row>
    <row r="19" spans="1:12" ht="84.75" customHeight="1">
      <c r="A19" s="491" t="s">
        <v>75</v>
      </c>
      <c r="B19" s="486">
        <v>1001</v>
      </c>
      <c r="C19" s="486" t="s">
        <v>74</v>
      </c>
      <c r="D19" s="484">
        <v>0</v>
      </c>
      <c r="E19" s="484">
        <v>0</v>
      </c>
      <c r="F19" s="484">
        <v>0</v>
      </c>
      <c r="G19" s="484">
        <v>0</v>
      </c>
      <c r="H19" s="484">
        <v>0</v>
      </c>
      <c r="I19" s="484">
        <v>0</v>
      </c>
      <c r="J19" s="484">
        <v>0</v>
      </c>
      <c r="K19" s="484">
        <v>0</v>
      </c>
      <c r="L19" s="484">
        <v>0</v>
      </c>
    </row>
    <row r="20" spans="1:12" ht="15" customHeight="1">
      <c r="A20" s="485"/>
      <c r="B20" s="486"/>
      <c r="C20" s="486"/>
      <c r="D20" s="484"/>
      <c r="E20" s="484"/>
      <c r="F20" s="484"/>
      <c r="G20" s="484"/>
      <c r="H20" s="484"/>
      <c r="I20" s="484"/>
      <c r="J20" s="484"/>
      <c r="K20" s="484"/>
      <c r="L20" s="484"/>
    </row>
    <row r="21" spans="1:12" ht="15" customHeight="1">
      <c r="A21" s="485"/>
      <c r="B21" s="486"/>
      <c r="C21" s="486"/>
      <c r="D21" s="484"/>
      <c r="E21" s="484"/>
      <c r="F21" s="484"/>
      <c r="G21" s="484"/>
      <c r="H21" s="484"/>
      <c r="I21" s="484"/>
      <c r="J21" s="484"/>
      <c r="K21" s="484"/>
      <c r="L21" s="484"/>
    </row>
    <row r="22" spans="1:12" ht="15" customHeight="1">
      <c r="A22" s="485"/>
      <c r="B22" s="486"/>
      <c r="C22" s="486"/>
      <c r="D22" s="484"/>
      <c r="E22" s="484"/>
      <c r="F22" s="484"/>
      <c r="G22" s="484"/>
      <c r="H22" s="484"/>
      <c r="I22" s="484"/>
      <c r="J22" s="484"/>
      <c r="K22" s="484"/>
      <c r="L22" s="484"/>
    </row>
    <row r="23" spans="1:12" ht="9.75" customHeight="1">
      <c r="A23" s="485"/>
      <c r="B23" s="486"/>
      <c r="C23" s="486"/>
      <c r="D23" s="484"/>
      <c r="E23" s="484"/>
      <c r="F23" s="484"/>
      <c r="G23" s="484"/>
      <c r="H23" s="484"/>
      <c r="I23" s="484"/>
      <c r="J23" s="484"/>
      <c r="K23" s="484"/>
      <c r="L23" s="484"/>
    </row>
    <row r="24" spans="1:12" ht="15" customHeight="1" hidden="1">
      <c r="A24" s="485"/>
      <c r="B24" s="486"/>
      <c r="C24" s="486"/>
      <c r="D24" s="484"/>
      <c r="E24" s="484"/>
      <c r="F24" s="484"/>
      <c r="G24" s="484"/>
      <c r="H24" s="484"/>
      <c r="I24" s="484"/>
      <c r="J24" s="484"/>
      <c r="K24" s="484"/>
      <c r="L24" s="484"/>
    </row>
    <row r="25" spans="1:12" ht="15" customHeight="1" hidden="1">
      <c r="A25" s="485"/>
      <c r="B25" s="486"/>
      <c r="C25" s="486"/>
      <c r="D25" s="484"/>
      <c r="E25" s="484"/>
      <c r="F25" s="484"/>
      <c r="G25" s="484"/>
      <c r="H25" s="484"/>
      <c r="I25" s="484"/>
      <c r="J25" s="484"/>
      <c r="K25" s="484"/>
      <c r="L25" s="484"/>
    </row>
    <row r="26" spans="1:12" ht="15" customHeight="1" hidden="1">
      <c r="A26" s="485"/>
      <c r="B26" s="486"/>
      <c r="C26" s="486"/>
      <c r="D26" s="484"/>
      <c r="E26" s="484"/>
      <c r="F26" s="484"/>
      <c r="G26" s="484"/>
      <c r="H26" s="484"/>
      <c r="I26" s="484"/>
      <c r="J26" s="484"/>
      <c r="K26" s="484"/>
      <c r="L26" s="484"/>
    </row>
    <row r="27" spans="1:12" ht="15" customHeight="1" hidden="1">
      <c r="A27" s="485"/>
      <c r="B27" s="486"/>
      <c r="C27" s="486"/>
      <c r="D27" s="484"/>
      <c r="E27" s="484"/>
      <c r="F27" s="484"/>
      <c r="G27" s="484"/>
      <c r="H27" s="484"/>
      <c r="I27" s="484"/>
      <c r="J27" s="484"/>
      <c r="K27" s="484"/>
      <c r="L27" s="484"/>
    </row>
    <row r="28" spans="1:12" ht="15" customHeight="1" hidden="1">
      <c r="A28" s="485"/>
      <c r="B28" s="486"/>
      <c r="C28" s="486"/>
      <c r="D28" s="484"/>
      <c r="E28" s="484"/>
      <c r="F28" s="484"/>
      <c r="G28" s="484"/>
      <c r="H28" s="484"/>
      <c r="I28" s="484"/>
      <c r="J28" s="484"/>
      <c r="K28" s="484"/>
      <c r="L28" s="484"/>
    </row>
    <row r="29" spans="1:12" ht="50.25" customHeight="1">
      <c r="A29" s="485" t="s">
        <v>401</v>
      </c>
      <c r="B29" s="486">
        <v>2001</v>
      </c>
      <c r="C29" s="485"/>
      <c r="D29" s="483">
        <f>J29</f>
        <v>11033319.969999999</v>
      </c>
      <c r="E29" s="483">
        <v>0</v>
      </c>
      <c r="F29" s="483">
        <v>0</v>
      </c>
      <c r="G29" s="483">
        <v>0</v>
      </c>
      <c r="H29" s="483">
        <v>0</v>
      </c>
      <c r="I29" s="483">
        <v>0</v>
      </c>
      <c r="J29" s="483">
        <f>'раздел 3 (табл.2,3,4)'!H118</f>
        <v>11033319.969999999</v>
      </c>
      <c r="K29" s="483">
        <f>'раздел 3 (табл.2,3,4)'!H291</f>
        <v>9204226.74</v>
      </c>
      <c r="L29" s="483">
        <f>'раздел 3 (табл.2,3,4)'!H455</f>
        <v>9214226.74</v>
      </c>
    </row>
    <row r="30" spans="1:12" ht="15">
      <c r="A30" s="485"/>
      <c r="B30" s="486"/>
      <c r="C30" s="485"/>
      <c r="D30" s="483"/>
      <c r="E30" s="483"/>
      <c r="F30" s="483"/>
      <c r="G30" s="483"/>
      <c r="H30" s="483"/>
      <c r="I30" s="483"/>
      <c r="J30" s="483"/>
      <c r="K30" s="483"/>
      <c r="L30" s="483"/>
    </row>
    <row r="31" spans="1:12" ht="1.5" customHeight="1">
      <c r="A31" s="485"/>
      <c r="B31" s="486"/>
      <c r="C31" s="485"/>
      <c r="D31" s="483"/>
      <c r="E31" s="483"/>
      <c r="F31" s="483"/>
      <c r="G31" s="483"/>
      <c r="H31" s="483"/>
      <c r="I31" s="483"/>
      <c r="J31" s="483"/>
      <c r="K31" s="483"/>
      <c r="L31" s="483"/>
    </row>
    <row r="32" spans="1:12" ht="15">
      <c r="A32" s="485"/>
      <c r="B32" s="486"/>
      <c r="C32" s="485"/>
      <c r="D32" s="483"/>
      <c r="E32" s="483"/>
      <c r="F32" s="483"/>
      <c r="G32" s="483"/>
      <c r="H32" s="483"/>
      <c r="I32" s="483"/>
      <c r="J32" s="483"/>
      <c r="K32" s="483"/>
      <c r="L32" s="483"/>
    </row>
    <row r="33" spans="1:12" ht="15">
      <c r="A33" s="485"/>
      <c r="B33" s="486"/>
      <c r="C33" s="485"/>
      <c r="D33" s="483"/>
      <c r="E33" s="483"/>
      <c r="F33" s="483"/>
      <c r="G33" s="483"/>
      <c r="H33" s="483"/>
      <c r="I33" s="483"/>
      <c r="J33" s="483"/>
      <c r="K33" s="483"/>
      <c r="L33" s="483"/>
    </row>
    <row r="34" spans="1:12" ht="15">
      <c r="A34" s="485"/>
      <c r="B34" s="486"/>
      <c r="C34" s="485"/>
      <c r="D34" s="483"/>
      <c r="E34" s="483"/>
      <c r="F34" s="483"/>
      <c r="G34" s="483"/>
      <c r="H34" s="483"/>
      <c r="I34" s="483"/>
      <c r="J34" s="483"/>
      <c r="K34" s="483"/>
      <c r="L34" s="483"/>
    </row>
    <row r="36" ht="18.75">
      <c r="A36" s="34" t="s">
        <v>78</v>
      </c>
    </row>
    <row r="37" spans="1:12" ht="82.5" customHeight="1">
      <c r="A37" s="482" t="s">
        <v>289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</row>
    <row r="38" spans="1:12" ht="103.5" customHeight="1">
      <c r="A38" s="482" t="s">
        <v>290</v>
      </c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</row>
    <row r="39" ht="15.75">
      <c r="A39" s="28" t="s">
        <v>79</v>
      </c>
    </row>
    <row r="40" ht="15.75">
      <c r="A40" s="28" t="s">
        <v>291</v>
      </c>
    </row>
    <row r="41" ht="15.75">
      <c r="A41" s="28" t="s">
        <v>80</v>
      </c>
    </row>
    <row r="42" ht="15.75">
      <c r="A42" s="28" t="s">
        <v>81</v>
      </c>
    </row>
    <row r="43" ht="15.75">
      <c r="A43" s="28" t="s">
        <v>82</v>
      </c>
    </row>
    <row r="44" ht="15.75">
      <c r="A44" s="28" t="s">
        <v>292</v>
      </c>
    </row>
    <row r="45" ht="15.75">
      <c r="A45" s="28" t="s">
        <v>293</v>
      </c>
    </row>
    <row r="46" ht="15.75">
      <c r="A46" s="28" t="s">
        <v>294</v>
      </c>
    </row>
    <row r="47" spans="1:12" ht="18" customHeight="1">
      <c r="A47" s="482" t="s">
        <v>295</v>
      </c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</row>
    <row r="48" spans="1:12" s="62" customFormat="1" ht="31.5" customHeight="1">
      <c r="A48" s="482" t="s">
        <v>402</v>
      </c>
      <c r="B48" s="482"/>
      <c r="C48" s="482"/>
      <c r="D48" s="482"/>
      <c r="E48" s="482"/>
      <c r="F48" s="482"/>
      <c r="G48" s="482"/>
      <c r="H48" s="482"/>
      <c r="I48" s="482"/>
      <c r="J48" s="482"/>
      <c r="K48" s="482"/>
      <c r="L48" s="482"/>
    </row>
  </sheetData>
  <sheetProtection/>
  <mergeCells count="58">
    <mergeCell ref="D9:F12"/>
    <mergeCell ref="G9:L9"/>
    <mergeCell ref="K13:K14"/>
    <mergeCell ref="L13:L14"/>
    <mergeCell ref="G11:I12"/>
    <mergeCell ref="J11:L12"/>
    <mergeCell ref="D13:D14"/>
    <mergeCell ref="E13:E14"/>
    <mergeCell ref="F13:F14"/>
    <mergeCell ref="G13:G14"/>
    <mergeCell ref="A48:L48"/>
    <mergeCell ref="A7:A14"/>
    <mergeCell ref="B7:B14"/>
    <mergeCell ref="C7:C14"/>
    <mergeCell ref="D7:L7"/>
    <mergeCell ref="D8:L8"/>
    <mergeCell ref="F16:F18"/>
    <mergeCell ref="G16:G18"/>
    <mergeCell ref="G10:I10"/>
    <mergeCell ref="J10:L10"/>
    <mergeCell ref="H13:H14"/>
    <mergeCell ref="J13:J14"/>
    <mergeCell ref="L16:L18"/>
    <mergeCell ref="A19:A28"/>
    <mergeCell ref="B19:B28"/>
    <mergeCell ref="C19:C28"/>
    <mergeCell ref="D19:D28"/>
    <mergeCell ref="E19:E28"/>
    <mergeCell ref="B16:B18"/>
    <mergeCell ref="C16:C18"/>
    <mergeCell ref="D16:D18"/>
    <mergeCell ref="E16:E18"/>
    <mergeCell ref="I19:I28"/>
    <mergeCell ref="J19:J28"/>
    <mergeCell ref="K19:K28"/>
    <mergeCell ref="H16:H18"/>
    <mergeCell ref="I16:I18"/>
    <mergeCell ref="J16:J18"/>
    <mergeCell ref="K16:K18"/>
    <mergeCell ref="L19:L28"/>
    <mergeCell ref="A29:A34"/>
    <mergeCell ref="B29:B34"/>
    <mergeCell ref="C29:C34"/>
    <mergeCell ref="D29:D34"/>
    <mergeCell ref="E29:E34"/>
    <mergeCell ref="F29:F34"/>
    <mergeCell ref="F19:F28"/>
    <mergeCell ref="G19:G28"/>
    <mergeCell ref="H19:H28"/>
    <mergeCell ref="A37:L37"/>
    <mergeCell ref="A38:L38"/>
    <mergeCell ref="A47:L47"/>
    <mergeCell ref="G29:G34"/>
    <mergeCell ref="H29:H34"/>
    <mergeCell ref="I29:I34"/>
    <mergeCell ref="J29:J34"/>
    <mergeCell ref="K29:K34"/>
    <mergeCell ref="L29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35" t="s">
        <v>83</v>
      </c>
    </row>
    <row r="3" spans="2:4" ht="15.75">
      <c r="B3" s="30"/>
      <c r="D3" s="29" t="s">
        <v>84</v>
      </c>
    </row>
    <row r="4" ht="33.75" customHeight="1">
      <c r="B4" s="30" t="s">
        <v>85</v>
      </c>
    </row>
    <row r="5" spans="1:3" ht="15.75">
      <c r="A5" s="46"/>
      <c r="B5" s="47" t="s">
        <v>767</v>
      </c>
      <c r="C5" s="46"/>
    </row>
    <row r="6" ht="15.75">
      <c r="B6" s="30" t="s">
        <v>40</v>
      </c>
    </row>
    <row r="7" ht="15.75">
      <c r="A7" s="28"/>
    </row>
    <row r="8" spans="1:3" ht="75" customHeight="1">
      <c r="A8" s="490" t="s">
        <v>1</v>
      </c>
      <c r="B8" s="26" t="s">
        <v>86</v>
      </c>
      <c r="C8" s="490" t="s">
        <v>88</v>
      </c>
    </row>
    <row r="9" spans="1:3" ht="15.75">
      <c r="A9" s="490"/>
      <c r="B9" s="26" t="s">
        <v>87</v>
      </c>
      <c r="C9" s="490"/>
    </row>
    <row r="10" spans="1:3" ht="15.75">
      <c r="A10" s="26">
        <v>1</v>
      </c>
      <c r="B10" s="26">
        <v>2</v>
      </c>
      <c r="C10" s="26">
        <v>3</v>
      </c>
    </row>
    <row r="11" spans="1:3" ht="34.5" customHeight="1">
      <c r="A11" s="25" t="s">
        <v>59</v>
      </c>
      <c r="B11" s="82" t="s">
        <v>403</v>
      </c>
      <c r="C11" s="45">
        <v>0</v>
      </c>
    </row>
    <row r="12" spans="1:3" ht="42" customHeight="1">
      <c r="A12" s="25" t="s">
        <v>60</v>
      </c>
      <c r="B12" s="82" t="s">
        <v>404</v>
      </c>
      <c r="C12" s="45">
        <v>0</v>
      </c>
    </row>
    <row r="13" spans="1:3" ht="15.75">
      <c r="A13" s="25" t="s">
        <v>89</v>
      </c>
      <c r="B13" s="82" t="s">
        <v>405</v>
      </c>
      <c r="C13" s="45">
        <v>167919</v>
      </c>
    </row>
    <row r="14" spans="1:3" ht="30" customHeight="1">
      <c r="A14" s="25" t="s">
        <v>90</v>
      </c>
      <c r="B14" s="82" t="s">
        <v>406</v>
      </c>
      <c r="C14" s="45">
        <v>0</v>
      </c>
    </row>
    <row r="15" spans="1:3" ht="15.75">
      <c r="A15" s="25"/>
      <c r="B15" s="25"/>
      <c r="C15" s="25"/>
    </row>
    <row r="16" ht="15.75">
      <c r="A16" s="28"/>
    </row>
    <row r="17" ht="15.75">
      <c r="A17" s="28" t="s">
        <v>91</v>
      </c>
    </row>
    <row r="18" spans="1:13" ht="21" customHeight="1">
      <c r="A18" s="499" t="s">
        <v>407</v>
      </c>
      <c r="B18" s="499"/>
      <c r="C18" s="499"/>
      <c r="D18" s="7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 customHeight="1">
      <c r="A19" s="499"/>
      <c r="B19" s="499"/>
      <c r="C19" s="499"/>
      <c r="D19" s="70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customHeight="1">
      <c r="A20" s="499"/>
      <c r="B20" s="499"/>
      <c r="C20" s="499"/>
      <c r="D20" s="70"/>
      <c r="E20" s="27"/>
      <c r="F20" s="27"/>
      <c r="G20" s="27"/>
      <c r="H20" s="27"/>
      <c r="I20" s="27"/>
      <c r="J20" s="27"/>
      <c r="K20" s="27"/>
      <c r="L20" s="27"/>
      <c r="M20" s="27"/>
    </row>
    <row r="21" spans="1:4" ht="15" customHeight="1">
      <c r="A21" s="499"/>
      <c r="B21" s="499"/>
      <c r="C21" s="499"/>
      <c r="D21" s="70"/>
    </row>
    <row r="22" spans="1:4" ht="15" customHeight="1">
      <c r="A22" s="499"/>
      <c r="B22" s="499"/>
      <c r="C22" s="499"/>
      <c r="D22" s="70"/>
    </row>
    <row r="23" spans="1:4" ht="15" customHeight="1">
      <c r="A23" s="499"/>
      <c r="B23" s="499"/>
      <c r="C23" s="499"/>
      <c r="D23" s="70"/>
    </row>
    <row r="24" spans="1:4" ht="30.75" customHeight="1">
      <c r="A24" s="499"/>
      <c r="B24" s="499"/>
      <c r="C24" s="499"/>
      <c r="D24" s="70"/>
    </row>
    <row r="25" spans="1:3" ht="15">
      <c r="A25" s="499"/>
      <c r="B25" s="499"/>
      <c r="C25" s="499"/>
    </row>
  </sheetData>
  <sheetProtection/>
  <mergeCells count="3">
    <mergeCell ref="A8:A9"/>
    <mergeCell ref="C8:C9"/>
    <mergeCell ref="A18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36"/>
  <sheetViews>
    <sheetView zoomScalePageLayoutView="0" workbookViewId="0" topLeftCell="A16">
      <selection activeCell="A37" sqref="A37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35" t="s">
        <v>92</v>
      </c>
    </row>
    <row r="6" ht="15.75">
      <c r="D6" s="29" t="s">
        <v>93</v>
      </c>
    </row>
    <row r="7" ht="15.75">
      <c r="A7" s="29"/>
    </row>
    <row r="8" ht="15.75">
      <c r="A8" s="30" t="s">
        <v>94</v>
      </c>
    </row>
    <row r="9" ht="15.75">
      <c r="A9" s="28"/>
    </row>
    <row r="10" spans="1:3" ht="15.75">
      <c r="A10" s="26" t="s">
        <v>1</v>
      </c>
      <c r="B10" s="26" t="s">
        <v>45</v>
      </c>
      <c r="C10" s="26" t="s">
        <v>95</v>
      </c>
    </row>
    <row r="11" spans="1:3" ht="15.75">
      <c r="A11" s="26">
        <v>1</v>
      </c>
      <c r="B11" s="26">
        <v>2</v>
      </c>
      <c r="C11" s="26">
        <v>3</v>
      </c>
    </row>
    <row r="12" spans="1:3" ht="31.5" customHeight="1">
      <c r="A12" s="25" t="s">
        <v>96</v>
      </c>
      <c r="B12" s="82" t="s">
        <v>403</v>
      </c>
      <c r="C12" s="45">
        <v>0</v>
      </c>
    </row>
    <row r="13" spans="1:3" ht="54" customHeight="1">
      <c r="A13" s="25" t="s">
        <v>97</v>
      </c>
      <c r="B13" s="500" t="s">
        <v>404</v>
      </c>
      <c r="C13" s="483">
        <v>0</v>
      </c>
    </row>
    <row r="14" spans="1:3" ht="56.25" customHeight="1">
      <c r="A14" s="25" t="s">
        <v>98</v>
      </c>
      <c r="B14" s="500"/>
      <c r="C14" s="483"/>
    </row>
    <row r="15" ht="15.75">
      <c r="A15" s="28"/>
    </row>
    <row r="16" ht="15.75">
      <c r="A16" s="28"/>
    </row>
    <row r="17" ht="15.75">
      <c r="A17" s="28"/>
    </row>
    <row r="18" ht="15.75">
      <c r="A18" s="28" t="s">
        <v>99</v>
      </c>
    </row>
    <row r="19" spans="1:3" ht="15.75">
      <c r="A19" s="28" t="s">
        <v>100</v>
      </c>
      <c r="C19" t="s">
        <v>487</v>
      </c>
    </row>
    <row r="20" ht="15.75">
      <c r="A20" s="28" t="s">
        <v>101</v>
      </c>
    </row>
    <row r="21" ht="15.75">
      <c r="A21" s="28"/>
    </row>
    <row r="22" ht="15.75">
      <c r="A22" s="28" t="s">
        <v>102</v>
      </c>
    </row>
    <row r="23" ht="15.75">
      <c r="A23" s="28" t="s">
        <v>100</v>
      </c>
    </row>
    <row r="24" ht="15.75">
      <c r="A24" s="28" t="s">
        <v>101</v>
      </c>
    </row>
    <row r="25" ht="15.75">
      <c r="A25" s="28"/>
    </row>
    <row r="26" ht="15.75">
      <c r="A26" s="28" t="s">
        <v>103</v>
      </c>
    </row>
    <row r="27" spans="1:3" ht="15.75">
      <c r="A27" s="28" t="s">
        <v>100</v>
      </c>
      <c r="C27" t="s">
        <v>538</v>
      </c>
    </row>
    <row r="28" ht="15.75">
      <c r="A28" s="28" t="s">
        <v>101</v>
      </c>
    </row>
    <row r="29" ht="15.75">
      <c r="A29" s="28"/>
    </row>
    <row r="30" ht="15.75">
      <c r="A30" s="28" t="s">
        <v>13</v>
      </c>
    </row>
    <row r="31" spans="1:3" ht="15.75">
      <c r="A31" s="43"/>
      <c r="B31" s="44"/>
      <c r="C31" t="s">
        <v>538</v>
      </c>
    </row>
    <row r="32" ht="15.75">
      <c r="A32" s="28" t="s">
        <v>104</v>
      </c>
    </row>
    <row r="33" ht="15.75">
      <c r="A33" s="28"/>
    </row>
    <row r="34" ht="15.75">
      <c r="A34" s="43" t="s">
        <v>539</v>
      </c>
    </row>
    <row r="35" ht="15.75">
      <c r="A35" s="28"/>
    </row>
    <row r="36" ht="15.75">
      <c r="A36" s="184">
        <v>43579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F267"/>
  <sheetViews>
    <sheetView view="pageBreakPreview" zoomScale="60" zoomScalePageLayoutView="0" workbookViewId="0" topLeftCell="A1">
      <selection activeCell="A251" sqref="A251:H251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20.7109375" style="187" customWidth="1"/>
    <col min="6" max="6" width="20.8515625" style="187" customWidth="1"/>
    <col min="7" max="7" width="21.28125" style="187" customWidth="1"/>
    <col min="8" max="8" width="18.42187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2" width="16.140625" style="187" customWidth="1"/>
    <col min="13" max="16384" width="9.140625" style="187" customWidth="1"/>
  </cols>
  <sheetData>
    <row r="1" spans="5:6" ht="15.75" customHeight="1">
      <c r="E1" s="501"/>
      <c r="F1" s="501"/>
    </row>
    <row r="2" spans="1:26" s="191" customFormat="1" ht="40.5" customHeight="1">
      <c r="A2" s="502" t="s">
        <v>541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503"/>
      <c r="C3" s="503"/>
      <c r="D3" s="503"/>
      <c r="E3" s="503"/>
      <c r="F3" s="503"/>
      <c r="G3" s="503"/>
      <c r="H3" s="503"/>
      <c r="I3" s="503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504" t="s">
        <v>542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</row>
    <row r="5" spans="2:31" ht="15.75" customHeight="1">
      <c r="B5" s="187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</row>
    <row r="6" spans="2:31" ht="15.75" customHeight="1">
      <c r="B6" s="194" t="s">
        <v>543</v>
      </c>
      <c r="C6" s="194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</row>
    <row r="7" spans="2:31" ht="15.75" customHeight="1">
      <c r="B7" s="187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</row>
    <row r="8" spans="2:31" ht="15.75" customHeight="1">
      <c r="B8" s="194" t="s">
        <v>544</v>
      </c>
      <c r="C8" s="194"/>
      <c r="D8" s="194" t="s">
        <v>545</v>
      </c>
      <c r="E8" s="194"/>
      <c r="F8" s="194"/>
      <c r="G8" s="194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</row>
    <row r="9" spans="2:31" ht="15.75" customHeight="1">
      <c r="B9" s="187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</row>
    <row r="10" spans="2:31" ht="15.75" customHeight="1">
      <c r="B10" s="195" t="s">
        <v>546</v>
      </c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</row>
    <row r="11" spans="2:31" ht="15.75" customHeight="1">
      <c r="B11" s="187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</row>
    <row r="12" spans="1:83" ht="48" customHeight="1">
      <c r="A12" s="505" t="s">
        <v>547</v>
      </c>
      <c r="B12" s="506" t="s">
        <v>548</v>
      </c>
      <c r="C12" s="506" t="s">
        <v>549</v>
      </c>
      <c r="D12" s="509" t="s">
        <v>550</v>
      </c>
      <c r="E12" s="510"/>
      <c r="F12" s="510"/>
      <c r="G12" s="511"/>
      <c r="H12" s="512" t="s">
        <v>551</v>
      </c>
      <c r="I12" s="512" t="s">
        <v>552</v>
      </c>
      <c r="J12" s="512" t="s">
        <v>553</v>
      </c>
      <c r="K12" s="515" t="s">
        <v>554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3"/>
      <c r="BY12" s="193"/>
      <c r="BZ12" s="193"/>
      <c r="CA12" s="193"/>
      <c r="CB12" s="193"/>
      <c r="CC12" s="193"/>
      <c r="CD12" s="193"/>
      <c r="CE12" s="193"/>
    </row>
    <row r="13" spans="1:73" ht="15.75" customHeight="1">
      <c r="A13" s="505"/>
      <c r="B13" s="507"/>
      <c r="C13" s="507"/>
      <c r="D13" s="197" t="s">
        <v>36</v>
      </c>
      <c r="E13" s="516" t="s">
        <v>4</v>
      </c>
      <c r="F13" s="517"/>
      <c r="G13" s="517"/>
      <c r="H13" s="513"/>
      <c r="I13" s="513"/>
      <c r="J13" s="513"/>
      <c r="K13" s="51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</row>
    <row r="14" spans="1:31" ht="46.5" customHeight="1">
      <c r="A14" s="505"/>
      <c r="B14" s="508"/>
      <c r="C14" s="508"/>
      <c r="D14" s="199"/>
      <c r="E14" s="200" t="s">
        <v>555</v>
      </c>
      <c r="F14" s="200" t="s">
        <v>556</v>
      </c>
      <c r="G14" s="198" t="s">
        <v>557</v>
      </c>
      <c r="H14" s="514"/>
      <c r="I14" s="514"/>
      <c r="J14" s="514"/>
      <c r="K14" s="51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3"/>
      <c r="AB14" s="193"/>
      <c r="AC14" s="193"/>
      <c r="AD14" s="193"/>
      <c r="AE14" s="193"/>
    </row>
    <row r="15" spans="1:31" ht="15.75" customHeight="1">
      <c r="A15" s="201">
        <v>1</v>
      </c>
      <c r="B15" s="202">
        <v>2</v>
      </c>
      <c r="C15" s="202">
        <v>3</v>
      </c>
      <c r="D15" s="203">
        <v>4</v>
      </c>
      <c r="E15" s="204">
        <v>5</v>
      </c>
      <c r="F15" s="205">
        <v>6</v>
      </c>
      <c r="G15" s="202">
        <v>7</v>
      </c>
      <c r="H15" s="202">
        <v>8</v>
      </c>
      <c r="I15" s="202">
        <v>9</v>
      </c>
      <c r="J15" s="205">
        <v>10</v>
      </c>
      <c r="K15" s="205">
        <v>11</v>
      </c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193"/>
      <c r="AB15" s="193"/>
      <c r="AC15" s="193"/>
      <c r="AD15" s="193"/>
      <c r="AE15" s="193"/>
    </row>
    <row r="16" spans="1:31" ht="15.75" customHeight="1">
      <c r="A16" s="207"/>
      <c r="B16" s="208" t="s">
        <v>558</v>
      </c>
      <c r="C16" s="209">
        <v>4</v>
      </c>
      <c r="D16" s="209">
        <f>SUM(E16:G16)</f>
        <v>33046.7</v>
      </c>
      <c r="E16" s="210">
        <v>16110</v>
      </c>
      <c r="F16" s="210">
        <v>0</v>
      </c>
      <c r="G16" s="209">
        <f>18830.35-1893.65</f>
        <v>16936.699999999997</v>
      </c>
      <c r="H16" s="209">
        <v>0</v>
      </c>
      <c r="I16" s="209">
        <v>1.15</v>
      </c>
      <c r="J16" s="211">
        <f>(C16*D16*(1+H16/100)*I16*12)</f>
        <v>1824177.8399999999</v>
      </c>
      <c r="K16" s="212" t="s">
        <v>559</v>
      </c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193"/>
      <c r="AB16" s="193"/>
      <c r="AC16" s="193"/>
      <c r="AD16" s="193"/>
      <c r="AE16" s="193"/>
    </row>
    <row r="17" spans="1:31" ht="15.75" customHeight="1">
      <c r="A17" s="207"/>
      <c r="B17" s="208" t="s">
        <v>560</v>
      </c>
      <c r="C17" s="209">
        <v>3</v>
      </c>
      <c r="D17" s="209">
        <f>SUM(E17:G17)</f>
        <v>24385</v>
      </c>
      <c r="E17" s="210">
        <v>7000</v>
      </c>
      <c r="F17" s="210">
        <v>0</v>
      </c>
      <c r="G17" s="209">
        <f>21385-4000</f>
        <v>17385</v>
      </c>
      <c r="H17" s="209">
        <v>0</v>
      </c>
      <c r="I17" s="209">
        <v>1.15</v>
      </c>
      <c r="J17" s="211">
        <f>(C17*D17*(1+H17/100)*I17*12)</f>
        <v>1009539</v>
      </c>
      <c r="K17" s="212" t="s">
        <v>559</v>
      </c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193"/>
      <c r="AB17" s="193"/>
      <c r="AC17" s="193"/>
      <c r="AD17" s="193"/>
      <c r="AE17" s="193"/>
    </row>
    <row r="18" spans="1:31" ht="15.75" customHeight="1">
      <c r="A18" s="207"/>
      <c r="B18" s="208" t="s">
        <v>561</v>
      </c>
      <c r="C18" s="209">
        <v>44</v>
      </c>
      <c r="D18" s="209">
        <f>SUM(E18:G18)</f>
        <v>23223.54</v>
      </c>
      <c r="E18" s="210">
        <v>7000</v>
      </c>
      <c r="F18" s="210">
        <v>0</v>
      </c>
      <c r="G18" s="209">
        <f>13118-60+3165.54</f>
        <v>16223.54</v>
      </c>
      <c r="H18" s="209">
        <v>0</v>
      </c>
      <c r="I18" s="209">
        <v>1.15</v>
      </c>
      <c r="J18" s="211">
        <f>(C18*D18*(1+H18/100)*I18*12)</f>
        <v>14101333.487999998</v>
      </c>
      <c r="K18" s="212" t="s">
        <v>559</v>
      </c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193"/>
      <c r="AB18" s="193"/>
      <c r="AC18" s="193"/>
      <c r="AD18" s="193"/>
      <c r="AE18" s="193"/>
    </row>
    <row r="19" spans="1:31" ht="15.75" customHeight="1">
      <c r="A19" s="207"/>
      <c r="B19" s="208" t="s">
        <v>562</v>
      </c>
      <c r="C19" s="209">
        <v>4</v>
      </c>
      <c r="D19" s="209">
        <f>SUM(E19:G19)</f>
        <v>20382.25</v>
      </c>
      <c r="E19" s="210">
        <v>5880</v>
      </c>
      <c r="F19" s="210">
        <v>0</v>
      </c>
      <c r="G19" s="209">
        <f>16002.25-1500</f>
        <v>14502.25</v>
      </c>
      <c r="H19" s="209">
        <v>0</v>
      </c>
      <c r="I19" s="209">
        <v>1.15</v>
      </c>
      <c r="J19" s="211">
        <f>(C19*D19*(1+H19/100)*I19*12)</f>
        <v>1125100.2</v>
      </c>
      <c r="K19" s="212" t="s">
        <v>559</v>
      </c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193"/>
      <c r="AB19" s="193"/>
      <c r="AC19" s="193"/>
      <c r="AD19" s="193"/>
      <c r="AE19" s="193"/>
    </row>
    <row r="20" spans="1:31" s="195" customFormat="1" ht="15.75" customHeight="1">
      <c r="A20" s="220"/>
      <c r="B20" s="385"/>
      <c r="C20" s="386">
        <f>SUM(C16:C19)</f>
        <v>55</v>
      </c>
      <c r="D20" s="386"/>
      <c r="E20" s="387"/>
      <c r="F20" s="387"/>
      <c r="G20" s="386"/>
      <c r="H20" s="386"/>
      <c r="I20" s="386"/>
      <c r="J20" s="215">
        <f>ROUND(SUM(J16:J19),2)</f>
        <v>18060150.53</v>
      </c>
      <c r="K20" s="388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224"/>
      <c r="AB20" s="224"/>
      <c r="AC20" s="224"/>
      <c r="AD20" s="224"/>
      <c r="AE20" s="224"/>
    </row>
    <row r="21" spans="1:31" ht="15.75" customHeight="1">
      <c r="A21" s="207"/>
      <c r="B21" s="208" t="s">
        <v>750</v>
      </c>
      <c r="C21" s="209"/>
      <c r="D21" s="209"/>
      <c r="E21" s="210"/>
      <c r="F21" s="210"/>
      <c r="G21" s="209"/>
      <c r="H21" s="209"/>
      <c r="I21" s="209"/>
      <c r="J21" s="211">
        <v>47432.87</v>
      </c>
      <c r="K21" s="212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193"/>
      <c r="AB21" s="193"/>
      <c r="AC21" s="193"/>
      <c r="AD21" s="193"/>
      <c r="AE21" s="193"/>
    </row>
    <row r="22" spans="1:31" ht="15.75" customHeight="1">
      <c r="A22" s="207"/>
      <c r="B22" s="208" t="s">
        <v>762</v>
      </c>
      <c r="C22" s="209"/>
      <c r="D22" s="209"/>
      <c r="E22" s="210"/>
      <c r="F22" s="210"/>
      <c r="G22" s="209"/>
      <c r="H22" s="209"/>
      <c r="I22" s="209"/>
      <c r="J22" s="211">
        <v>80000</v>
      </c>
      <c r="K22" s="212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193"/>
      <c r="AB22" s="193"/>
      <c r="AC22" s="193"/>
      <c r="AD22" s="193"/>
      <c r="AE22" s="193"/>
    </row>
    <row r="23" spans="1:31" s="195" customFormat="1" ht="15.75" customHeight="1">
      <c r="A23" s="220"/>
      <c r="B23" s="389" t="s">
        <v>563</v>
      </c>
      <c r="C23" s="386" t="s">
        <v>564</v>
      </c>
      <c r="D23" s="386"/>
      <c r="E23" s="387" t="s">
        <v>564</v>
      </c>
      <c r="F23" s="387" t="s">
        <v>564</v>
      </c>
      <c r="G23" s="386" t="s">
        <v>564</v>
      </c>
      <c r="H23" s="386" t="s">
        <v>564</v>
      </c>
      <c r="I23" s="386" t="s">
        <v>564</v>
      </c>
      <c r="J23" s="215">
        <f>SUM(J20:J22)</f>
        <v>18187583.400000002</v>
      </c>
      <c r="K23" s="390" t="s">
        <v>564</v>
      </c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224"/>
      <c r="AB23" s="224"/>
      <c r="AC23" s="224"/>
      <c r="AD23" s="224"/>
      <c r="AE23" s="224"/>
    </row>
    <row r="24" spans="1:31" ht="15.75" customHeight="1">
      <c r="A24" s="207"/>
      <c r="B24" s="208" t="s">
        <v>558</v>
      </c>
      <c r="C24" s="203"/>
      <c r="D24" s="203"/>
      <c r="E24" s="204"/>
      <c r="F24" s="204"/>
      <c r="G24" s="216"/>
      <c r="H24" s="216"/>
      <c r="I24" s="216"/>
      <c r="J24" s="204">
        <f>(C24*D24*(1+H24/100)*I24*12)</f>
        <v>0</v>
      </c>
      <c r="K24" s="212" t="s">
        <v>565</v>
      </c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193"/>
      <c r="AB24" s="193"/>
      <c r="AC24" s="193"/>
      <c r="AD24" s="193"/>
      <c r="AE24" s="193"/>
    </row>
    <row r="25" spans="1:31" ht="15.75" customHeight="1">
      <c r="A25" s="207"/>
      <c r="B25" s="208" t="s">
        <v>560</v>
      </c>
      <c r="C25" s="203"/>
      <c r="D25" s="203"/>
      <c r="E25" s="204"/>
      <c r="F25" s="204"/>
      <c r="G25" s="216"/>
      <c r="H25" s="216"/>
      <c r="I25" s="216"/>
      <c r="J25" s="204">
        <f>(C25*D25*(1+H25/100)*I25*12)</f>
        <v>0</v>
      </c>
      <c r="K25" s="212" t="s">
        <v>565</v>
      </c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193"/>
      <c r="AB25" s="193"/>
      <c r="AC25" s="193"/>
      <c r="AD25" s="193"/>
      <c r="AE25" s="193"/>
    </row>
    <row r="26" spans="1:31" ht="15.75" customHeight="1">
      <c r="A26" s="207"/>
      <c r="B26" s="208" t="s">
        <v>561</v>
      </c>
      <c r="C26" s="203"/>
      <c r="D26" s="203"/>
      <c r="E26" s="204"/>
      <c r="F26" s="204"/>
      <c r="G26" s="216"/>
      <c r="H26" s="216"/>
      <c r="I26" s="216"/>
      <c r="J26" s="204">
        <f>(C26*D26*(1+H26/100)*I26*12)</f>
        <v>0</v>
      </c>
      <c r="K26" s="212" t="s">
        <v>565</v>
      </c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193"/>
      <c r="AB26" s="193"/>
      <c r="AC26" s="193"/>
      <c r="AD26" s="193"/>
      <c r="AE26" s="193"/>
    </row>
    <row r="27" spans="1:31" ht="15.75" customHeight="1">
      <c r="A27" s="207"/>
      <c r="B27" s="208" t="s">
        <v>562</v>
      </c>
      <c r="C27" s="203"/>
      <c r="D27" s="203"/>
      <c r="E27" s="204"/>
      <c r="F27" s="204"/>
      <c r="G27" s="216"/>
      <c r="H27" s="216"/>
      <c r="I27" s="216"/>
      <c r="J27" s="204">
        <f>(C27*D27*(1+H27/100)*I27*12)</f>
        <v>0</v>
      </c>
      <c r="K27" s="212" t="s">
        <v>565</v>
      </c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193"/>
      <c r="AB27" s="193"/>
      <c r="AC27" s="193"/>
      <c r="AD27" s="193"/>
      <c r="AE27" s="193"/>
    </row>
    <row r="28" spans="1:31" ht="15.75" customHeight="1">
      <c r="A28" s="207"/>
      <c r="B28" s="214" t="s">
        <v>563</v>
      </c>
      <c r="C28" s="203" t="s">
        <v>564</v>
      </c>
      <c r="D28" s="203"/>
      <c r="E28" s="204" t="s">
        <v>564</v>
      </c>
      <c r="F28" s="204" t="s">
        <v>564</v>
      </c>
      <c r="G28" s="216" t="s">
        <v>564</v>
      </c>
      <c r="H28" s="216" t="s">
        <v>564</v>
      </c>
      <c r="I28" s="216" t="s">
        <v>564</v>
      </c>
      <c r="J28" s="204">
        <f>SUM(J24:J27)</f>
        <v>0</v>
      </c>
      <c r="K28" s="204" t="s">
        <v>564</v>
      </c>
      <c r="L28" s="414">
        <f>J20+G67</f>
        <v>23514320.04</v>
      </c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</row>
    <row r="29" spans="1:12" ht="15.75" customHeight="1">
      <c r="A29" s="518" t="s">
        <v>563</v>
      </c>
      <c r="B29" s="519"/>
      <c r="C29" s="217" t="s">
        <v>564</v>
      </c>
      <c r="D29" s="218"/>
      <c r="E29" s="218"/>
      <c r="F29" s="218"/>
      <c r="G29" s="218"/>
      <c r="H29" s="218"/>
      <c r="I29" s="218"/>
      <c r="J29" s="219" t="s">
        <v>564</v>
      </c>
      <c r="K29" s="220"/>
      <c r="L29" s="391">
        <f>J23+G67</f>
        <v>23641752.910000004</v>
      </c>
    </row>
    <row r="30" spans="1:11" ht="15.75" customHeight="1">
      <c r="A30" s="193"/>
      <c r="B30" s="221"/>
      <c r="C30" s="222"/>
      <c r="D30" s="221"/>
      <c r="E30" s="221"/>
      <c r="F30" s="221"/>
      <c r="G30" s="221"/>
      <c r="H30" s="221"/>
      <c r="I30" s="221"/>
      <c r="J30" s="223"/>
      <c r="K30" s="224"/>
    </row>
    <row r="31" spans="1:11" ht="208.5" customHeight="1">
      <c r="A31" s="520" t="s">
        <v>566</v>
      </c>
      <c r="B31" s="520"/>
      <c r="C31" s="520"/>
      <c r="D31" s="520"/>
      <c r="E31" s="520"/>
      <c r="F31" s="520"/>
      <c r="G31" s="520"/>
      <c r="H31" s="520"/>
      <c r="I31" s="520"/>
      <c r="J31" s="520"/>
      <c r="K31" s="520"/>
    </row>
    <row r="32" spans="2:11" ht="15.75" customHeight="1">
      <c r="B32" s="521"/>
      <c r="C32" s="521"/>
      <c r="D32" s="521"/>
      <c r="E32" s="521"/>
      <c r="F32" s="521"/>
      <c r="G32" s="521"/>
      <c r="H32" s="521"/>
      <c r="I32" s="521"/>
      <c r="J32" s="521"/>
      <c r="K32" s="521"/>
    </row>
    <row r="33" spans="2:9" ht="21" customHeight="1">
      <c r="B33" s="522" t="s">
        <v>567</v>
      </c>
      <c r="C33" s="522"/>
      <c r="D33" s="522"/>
      <c r="E33" s="522"/>
      <c r="F33" s="522"/>
      <c r="G33" s="522"/>
      <c r="H33" s="522"/>
      <c r="I33" s="522"/>
    </row>
    <row r="35" spans="1:9" ht="26.25" customHeight="1">
      <c r="A35" s="523" t="s">
        <v>547</v>
      </c>
      <c r="B35" s="525" t="s">
        <v>568</v>
      </c>
      <c r="C35" s="525" t="s">
        <v>569</v>
      </c>
      <c r="D35" s="525" t="s">
        <v>570</v>
      </c>
      <c r="E35" s="525" t="s">
        <v>571</v>
      </c>
      <c r="F35" s="527" t="s">
        <v>572</v>
      </c>
      <c r="G35" s="528"/>
      <c r="H35" s="529"/>
      <c r="I35" s="227"/>
    </row>
    <row r="36" spans="1:9" ht="39.75" customHeight="1">
      <c r="A36" s="524"/>
      <c r="B36" s="526"/>
      <c r="C36" s="526"/>
      <c r="D36" s="526"/>
      <c r="E36" s="526"/>
      <c r="F36" s="228" t="s">
        <v>33</v>
      </c>
      <c r="G36" s="226" t="s">
        <v>559</v>
      </c>
      <c r="H36" s="228" t="s">
        <v>565</v>
      </c>
      <c r="I36" s="229"/>
    </row>
    <row r="37" spans="1:9" ht="15.75">
      <c r="A37" s="207">
        <v>1</v>
      </c>
      <c r="B37" s="230">
        <v>2</v>
      </c>
      <c r="C37" s="230">
        <v>3</v>
      </c>
      <c r="D37" s="230">
        <v>4</v>
      </c>
      <c r="E37" s="230">
        <v>5</v>
      </c>
      <c r="F37" s="230">
        <v>6</v>
      </c>
      <c r="G37" s="231">
        <v>7</v>
      </c>
      <c r="H37" s="230">
        <v>8</v>
      </c>
      <c r="I37" s="232"/>
    </row>
    <row r="38" spans="1:9" ht="15.75">
      <c r="A38" s="207"/>
      <c r="B38" s="201"/>
      <c r="C38" s="207"/>
      <c r="D38" s="207"/>
      <c r="E38" s="207"/>
      <c r="F38" s="233"/>
      <c r="G38" s="234"/>
      <c r="H38" s="233"/>
      <c r="I38" s="193"/>
    </row>
    <row r="39" spans="1:9" ht="15.75">
      <c r="A39" s="207"/>
      <c r="B39" s="201"/>
      <c r="C39" s="207"/>
      <c r="D39" s="207"/>
      <c r="E39" s="207"/>
      <c r="F39" s="207"/>
      <c r="G39" s="234"/>
      <c r="H39" s="233"/>
      <c r="I39" s="193"/>
    </row>
    <row r="40" spans="1:9" ht="15.75">
      <c r="A40" s="530" t="s">
        <v>573</v>
      </c>
      <c r="B40" s="531"/>
      <c r="C40" s="201" t="s">
        <v>564</v>
      </c>
      <c r="D40" s="201" t="s">
        <v>564</v>
      </c>
      <c r="E40" s="201" t="s">
        <v>564</v>
      </c>
      <c r="F40" s="207"/>
      <c r="G40" s="234"/>
      <c r="H40" s="233"/>
      <c r="I40" s="193"/>
    </row>
    <row r="42" spans="2:6" ht="15.75">
      <c r="B42" s="532" t="s">
        <v>574</v>
      </c>
      <c r="C42" s="532"/>
      <c r="D42" s="532"/>
      <c r="E42" s="532"/>
      <c r="F42" s="532"/>
    </row>
    <row r="44" spans="1:9" ht="26.25" customHeight="1">
      <c r="A44" s="523" t="s">
        <v>547</v>
      </c>
      <c r="B44" s="525" t="s">
        <v>568</v>
      </c>
      <c r="C44" s="525" t="s">
        <v>575</v>
      </c>
      <c r="D44" s="525" t="s">
        <v>576</v>
      </c>
      <c r="E44" s="525" t="s">
        <v>577</v>
      </c>
      <c r="F44" s="533" t="s">
        <v>572</v>
      </c>
      <c r="G44" s="533"/>
      <c r="H44" s="533"/>
      <c r="I44" s="227"/>
    </row>
    <row r="45" spans="1:9" ht="51" customHeight="1">
      <c r="A45" s="524"/>
      <c r="B45" s="526"/>
      <c r="C45" s="526"/>
      <c r="D45" s="526"/>
      <c r="E45" s="526"/>
      <c r="F45" s="228" t="s">
        <v>33</v>
      </c>
      <c r="G45" s="228" t="s">
        <v>559</v>
      </c>
      <c r="H45" s="228" t="s">
        <v>565</v>
      </c>
      <c r="I45" s="229"/>
    </row>
    <row r="46" spans="1:9" ht="15.75">
      <c r="A46" s="207">
        <v>1</v>
      </c>
      <c r="B46" s="230">
        <v>2</v>
      </c>
      <c r="C46" s="230">
        <v>3</v>
      </c>
      <c r="D46" s="230">
        <v>4</v>
      </c>
      <c r="E46" s="230">
        <v>5</v>
      </c>
      <c r="F46" s="230">
        <v>6</v>
      </c>
      <c r="G46" s="230">
        <v>7</v>
      </c>
      <c r="H46" s="230">
        <v>8</v>
      </c>
      <c r="I46" s="232"/>
    </row>
    <row r="47" spans="1:9" ht="15.75">
      <c r="A47" s="207"/>
      <c r="B47" s="201"/>
      <c r="C47" s="207"/>
      <c r="D47" s="207"/>
      <c r="E47" s="207"/>
      <c r="F47" s="233"/>
      <c r="G47" s="233"/>
      <c r="H47" s="233"/>
      <c r="I47" s="193"/>
    </row>
    <row r="48" spans="1:9" ht="15.75">
      <c r="A48" s="207"/>
      <c r="B48" s="201"/>
      <c r="C48" s="207"/>
      <c r="D48" s="207"/>
      <c r="E48" s="207"/>
      <c r="F48" s="207"/>
      <c r="G48" s="233"/>
      <c r="H48" s="233"/>
      <c r="I48" s="193"/>
    </row>
    <row r="49" spans="1:9" ht="15.75">
      <c r="A49" s="530" t="s">
        <v>573</v>
      </c>
      <c r="B49" s="531"/>
      <c r="C49" s="201" t="s">
        <v>564</v>
      </c>
      <c r="D49" s="201" t="s">
        <v>564</v>
      </c>
      <c r="E49" s="201" t="s">
        <v>564</v>
      </c>
      <c r="F49" s="207"/>
      <c r="G49" s="233"/>
      <c r="H49" s="233"/>
      <c r="I49" s="193"/>
    </row>
    <row r="51" spans="2:9" ht="33" customHeight="1">
      <c r="B51" s="534" t="s">
        <v>578</v>
      </c>
      <c r="C51" s="534"/>
      <c r="D51" s="534"/>
      <c r="E51" s="534"/>
      <c r="F51" s="534"/>
      <c r="G51" s="534"/>
      <c r="H51" s="534"/>
      <c r="I51" s="534"/>
    </row>
    <row r="53" spans="1:9" ht="31.5" customHeight="1">
      <c r="A53" s="535" t="s">
        <v>547</v>
      </c>
      <c r="B53" s="533" t="s">
        <v>579</v>
      </c>
      <c r="C53" s="533"/>
      <c r="D53" s="533"/>
      <c r="E53" s="525" t="s">
        <v>580</v>
      </c>
      <c r="F53" s="533" t="s">
        <v>581</v>
      </c>
      <c r="G53" s="533"/>
      <c r="H53" s="533"/>
      <c r="I53" s="235"/>
    </row>
    <row r="54" spans="1:9" ht="31.5" customHeight="1">
      <c r="A54" s="536"/>
      <c r="B54" s="533"/>
      <c r="C54" s="533"/>
      <c r="D54" s="533"/>
      <c r="E54" s="526"/>
      <c r="F54" s="228" t="s">
        <v>582</v>
      </c>
      <c r="G54" s="228" t="s">
        <v>559</v>
      </c>
      <c r="H54" s="228" t="s">
        <v>565</v>
      </c>
      <c r="I54" s="229"/>
    </row>
    <row r="55" spans="1:9" ht="17.25" customHeight="1">
      <c r="A55" s="236">
        <v>1</v>
      </c>
      <c r="B55" s="537">
        <v>2</v>
      </c>
      <c r="C55" s="537"/>
      <c r="D55" s="537"/>
      <c r="E55" s="201">
        <v>3</v>
      </c>
      <c r="F55" s="201">
        <v>4</v>
      </c>
      <c r="G55" s="201">
        <v>5</v>
      </c>
      <c r="H55" s="201">
        <v>6</v>
      </c>
      <c r="I55" s="238"/>
    </row>
    <row r="56" spans="1:9" s="189" customFormat="1" ht="32.25" customHeight="1">
      <c r="A56" s="239">
        <v>1</v>
      </c>
      <c r="B56" s="538" t="s">
        <v>583</v>
      </c>
      <c r="C56" s="539"/>
      <c r="D56" s="540"/>
      <c r="E56" s="233" t="s">
        <v>564</v>
      </c>
      <c r="F56" s="233"/>
      <c r="G56" s="233"/>
      <c r="H56" s="233"/>
      <c r="I56" s="193"/>
    </row>
    <row r="57" spans="1:9" ht="34.5" customHeight="1">
      <c r="A57" s="239" t="s">
        <v>584</v>
      </c>
      <c r="B57" s="538" t="s">
        <v>585</v>
      </c>
      <c r="C57" s="539"/>
      <c r="D57" s="540"/>
      <c r="E57" s="240">
        <f>J20</f>
        <v>18060150.53</v>
      </c>
      <c r="F57" s="240">
        <f>SUM(G57:H57)</f>
        <v>3973237.16</v>
      </c>
      <c r="G57" s="240">
        <f>ROUND(E57*22%,2)-0.78+4.65+0.17</f>
        <v>3973237.16</v>
      </c>
      <c r="H57" s="207"/>
      <c r="I57" s="193"/>
    </row>
    <row r="58" spans="1:9" ht="16.5" customHeight="1">
      <c r="A58" s="239" t="s">
        <v>586</v>
      </c>
      <c r="B58" s="538" t="s">
        <v>587</v>
      </c>
      <c r="C58" s="539"/>
      <c r="D58" s="540"/>
      <c r="E58" s="241">
        <v>0</v>
      </c>
      <c r="F58" s="241"/>
      <c r="G58" s="241"/>
      <c r="H58" s="207"/>
      <c r="I58" s="193"/>
    </row>
    <row r="59" spans="1:9" ht="34.5" customHeight="1">
      <c r="A59" s="239" t="s">
        <v>588</v>
      </c>
      <c r="B59" s="538" t="s">
        <v>589</v>
      </c>
      <c r="C59" s="539"/>
      <c r="D59" s="540"/>
      <c r="E59" s="241">
        <v>0</v>
      </c>
      <c r="F59" s="241"/>
      <c r="G59" s="241"/>
      <c r="H59" s="207"/>
      <c r="I59" s="193"/>
    </row>
    <row r="60" spans="1:9" ht="33" customHeight="1">
      <c r="A60" s="239" t="s">
        <v>590</v>
      </c>
      <c r="B60" s="538" t="s">
        <v>591</v>
      </c>
      <c r="C60" s="539"/>
      <c r="D60" s="540"/>
      <c r="E60" s="240">
        <f>SUM(F60:G60)</f>
        <v>0</v>
      </c>
      <c r="F60" s="240">
        <f>SUM(G60:H60)</f>
        <v>0</v>
      </c>
      <c r="G60" s="241"/>
      <c r="H60" s="207"/>
      <c r="I60" s="193"/>
    </row>
    <row r="61" spans="1:9" ht="41.25" customHeight="1">
      <c r="A61" s="239" t="s">
        <v>592</v>
      </c>
      <c r="B61" s="541" t="s">
        <v>593</v>
      </c>
      <c r="C61" s="542"/>
      <c r="D61" s="543"/>
      <c r="E61" s="240">
        <f>E57</f>
        <v>18060150.53</v>
      </c>
      <c r="F61" s="240">
        <f>SUM(G61:H61)</f>
        <v>523744.37</v>
      </c>
      <c r="G61" s="240">
        <f>ROUND(E61*2.9%,2)</f>
        <v>523744.37</v>
      </c>
      <c r="H61" s="207"/>
      <c r="I61" s="193"/>
    </row>
    <row r="62" spans="1:9" ht="34.5" customHeight="1">
      <c r="A62" s="239" t="s">
        <v>594</v>
      </c>
      <c r="B62" s="538" t="s">
        <v>595</v>
      </c>
      <c r="C62" s="539"/>
      <c r="D62" s="540"/>
      <c r="E62" s="241">
        <v>0</v>
      </c>
      <c r="F62" s="241"/>
      <c r="G62" s="241"/>
      <c r="H62" s="207"/>
      <c r="I62" s="193"/>
    </row>
    <row r="63" spans="1:9" ht="33.75" customHeight="1">
      <c r="A63" s="239" t="s">
        <v>596</v>
      </c>
      <c r="B63" s="538" t="s">
        <v>597</v>
      </c>
      <c r="C63" s="539"/>
      <c r="D63" s="540"/>
      <c r="E63" s="240">
        <f>E61</f>
        <v>18060150.53</v>
      </c>
      <c r="F63" s="240">
        <f>SUM(G63:H63)</f>
        <v>36120.3</v>
      </c>
      <c r="G63" s="240">
        <f>ROUND(E63*0.2%,2)</f>
        <v>36120.3</v>
      </c>
      <c r="H63" s="207"/>
      <c r="I63" s="193"/>
    </row>
    <row r="64" spans="1:9" ht="33.75" customHeight="1">
      <c r="A64" s="239" t="s">
        <v>598</v>
      </c>
      <c r="B64" s="538" t="s">
        <v>599</v>
      </c>
      <c r="C64" s="539"/>
      <c r="D64" s="540"/>
      <c r="E64" s="241">
        <v>0</v>
      </c>
      <c r="F64" s="241"/>
      <c r="G64" s="241"/>
      <c r="H64" s="207"/>
      <c r="I64" s="193"/>
    </row>
    <row r="65" spans="1:9" ht="39.75" customHeight="1">
      <c r="A65" s="239" t="s">
        <v>600</v>
      </c>
      <c r="B65" s="538" t="s">
        <v>599</v>
      </c>
      <c r="C65" s="539"/>
      <c r="D65" s="540"/>
      <c r="E65" s="241">
        <v>0</v>
      </c>
      <c r="F65" s="241"/>
      <c r="G65" s="241"/>
      <c r="H65" s="207"/>
      <c r="I65" s="193"/>
    </row>
    <row r="66" spans="1:9" ht="30" customHeight="1">
      <c r="A66" s="239" t="s">
        <v>601</v>
      </c>
      <c r="B66" s="538" t="s">
        <v>602</v>
      </c>
      <c r="C66" s="539"/>
      <c r="D66" s="540"/>
      <c r="E66" s="240">
        <f>E63</f>
        <v>18060150.53</v>
      </c>
      <c r="F66" s="240">
        <f>SUM(G66:H66)</f>
        <v>921067.68</v>
      </c>
      <c r="G66" s="240">
        <f>ROUND(E66*5.1%,2)</f>
        <v>921067.68</v>
      </c>
      <c r="H66" s="207"/>
      <c r="I66" s="193"/>
    </row>
    <row r="67" spans="1:9" ht="30.75" customHeight="1">
      <c r="A67" s="544" t="s">
        <v>573</v>
      </c>
      <c r="B67" s="544"/>
      <c r="C67" s="544"/>
      <c r="D67" s="544"/>
      <c r="E67" s="241" t="s">
        <v>564</v>
      </c>
      <c r="F67" s="242">
        <f>SUM(F57:F66)</f>
        <v>5454169.51</v>
      </c>
      <c r="G67" s="242">
        <f>SUM(G57:G66)</f>
        <v>5454169.51</v>
      </c>
      <c r="H67" s="243">
        <f>H56+H60+H66</f>
        <v>0</v>
      </c>
      <c r="I67" s="193"/>
    </row>
    <row r="68" spans="2:6" ht="16.5" customHeight="1">
      <c r="B68" s="244"/>
      <c r="C68" s="244"/>
      <c r="D68" s="244"/>
      <c r="E68" s="238"/>
      <c r="F68" s="193"/>
    </row>
    <row r="69" spans="1:11" ht="99" customHeight="1">
      <c r="A69" s="545" t="s">
        <v>603</v>
      </c>
      <c r="B69" s="545"/>
      <c r="C69" s="545"/>
      <c r="D69" s="545"/>
      <c r="E69" s="545"/>
      <c r="F69" s="545"/>
      <c r="G69" s="545"/>
      <c r="H69" s="545"/>
      <c r="I69" s="545"/>
      <c r="J69" s="545"/>
      <c r="K69" s="545"/>
    </row>
    <row r="70" spans="2:6" ht="21" customHeight="1">
      <c r="B70" s="546"/>
      <c r="C70" s="546"/>
      <c r="D70" s="546"/>
      <c r="E70" s="546"/>
      <c r="F70" s="546"/>
    </row>
    <row r="71" spans="1:11" s="246" customFormat="1" ht="27" customHeight="1">
      <c r="A71" s="547" t="s">
        <v>604</v>
      </c>
      <c r="B71" s="547"/>
      <c r="C71" s="547"/>
      <c r="D71" s="547"/>
      <c r="E71" s="547"/>
      <c r="F71" s="547"/>
      <c r="G71" s="547"/>
      <c r="H71" s="547"/>
      <c r="I71" s="547"/>
      <c r="J71" s="547"/>
      <c r="K71" s="547"/>
    </row>
    <row r="72" spans="1:11" s="246" customFormat="1" ht="16.5" customHeight="1">
      <c r="A72" s="245"/>
      <c r="B72" s="245"/>
      <c r="C72" s="245"/>
      <c r="D72" s="245"/>
      <c r="E72" s="245"/>
      <c r="F72" s="245"/>
      <c r="G72" s="245"/>
      <c r="H72" s="245"/>
      <c r="I72" s="245"/>
      <c r="J72" s="245"/>
      <c r="K72" s="245"/>
    </row>
    <row r="73" spans="2:31" ht="15.75" customHeight="1">
      <c r="B73" s="194" t="s">
        <v>605</v>
      </c>
      <c r="C73" s="194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</row>
    <row r="74" spans="2:31" ht="15.75" customHeight="1">
      <c r="B74" s="187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</row>
    <row r="75" spans="2:31" ht="15.75" customHeight="1">
      <c r="B75" s="194" t="s">
        <v>544</v>
      </c>
      <c r="C75" s="194"/>
      <c r="D75" s="194" t="s">
        <v>606</v>
      </c>
      <c r="E75" s="194"/>
      <c r="F75" s="194"/>
      <c r="G75" s="194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</row>
    <row r="76" spans="2:31" ht="15.75" customHeight="1">
      <c r="B76" s="187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</row>
    <row r="77" spans="1:9" s="246" customFormat="1" ht="15.75" customHeight="1">
      <c r="A77" s="535" t="s">
        <v>547</v>
      </c>
      <c r="B77" s="548" t="s">
        <v>1</v>
      </c>
      <c r="C77" s="548"/>
      <c r="D77" s="548"/>
      <c r="E77" s="548" t="s">
        <v>607</v>
      </c>
      <c r="F77" s="548" t="s">
        <v>608</v>
      </c>
      <c r="G77" s="527" t="s">
        <v>581</v>
      </c>
      <c r="H77" s="528"/>
      <c r="I77" s="529"/>
    </row>
    <row r="78" spans="1:49" s="246" customFormat="1" ht="51" customHeight="1">
      <c r="A78" s="536"/>
      <c r="B78" s="548"/>
      <c r="C78" s="548"/>
      <c r="D78" s="548"/>
      <c r="E78" s="548"/>
      <c r="F78" s="548"/>
      <c r="G78" s="228" t="s">
        <v>609</v>
      </c>
      <c r="H78" s="226" t="s">
        <v>559</v>
      </c>
      <c r="I78" s="228" t="s">
        <v>565</v>
      </c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</row>
    <row r="79" spans="1:49" s="246" customFormat="1" ht="15.75">
      <c r="A79" s="249">
        <v>1</v>
      </c>
      <c r="B79" s="549">
        <v>2</v>
      </c>
      <c r="C79" s="549"/>
      <c r="D79" s="549"/>
      <c r="E79" s="249">
        <v>3</v>
      </c>
      <c r="F79" s="250">
        <v>4</v>
      </c>
      <c r="G79" s="251">
        <v>4</v>
      </c>
      <c r="H79" s="252">
        <v>5</v>
      </c>
      <c r="I79" s="251">
        <v>6</v>
      </c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</row>
    <row r="80" spans="1:49" s="246" customFormat="1" ht="32.25" customHeight="1">
      <c r="A80" s="253" t="s">
        <v>610</v>
      </c>
      <c r="B80" s="550" t="s">
        <v>764</v>
      </c>
      <c r="C80" s="550"/>
      <c r="D80" s="550"/>
      <c r="E80" s="254">
        <v>110000</v>
      </c>
      <c r="F80" s="255">
        <v>1</v>
      </c>
      <c r="G80" s="233">
        <v>110000</v>
      </c>
      <c r="H80" s="234">
        <v>110000</v>
      </c>
      <c r="I80" s="23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</row>
    <row r="81" spans="1:49" s="246" customFormat="1" ht="30.75" customHeight="1">
      <c r="A81" s="253" t="s">
        <v>590</v>
      </c>
      <c r="B81" s="550"/>
      <c r="C81" s="550"/>
      <c r="D81" s="550"/>
      <c r="E81" s="254"/>
      <c r="F81" s="255"/>
      <c r="G81" s="233"/>
      <c r="H81" s="234"/>
      <c r="I81" s="23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</row>
    <row r="82" spans="1:49" s="246" customFormat="1" ht="35.25" customHeight="1">
      <c r="A82" s="253" t="s">
        <v>601</v>
      </c>
      <c r="B82" s="550"/>
      <c r="C82" s="550"/>
      <c r="D82" s="550"/>
      <c r="E82" s="254"/>
      <c r="F82" s="255"/>
      <c r="G82" s="233"/>
      <c r="H82" s="234"/>
      <c r="I82" s="23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</row>
    <row r="83" spans="1:49" s="245" customFormat="1" ht="15.75">
      <c r="A83" s="551" t="s">
        <v>563</v>
      </c>
      <c r="B83" s="552"/>
      <c r="C83" s="552"/>
      <c r="D83" s="553"/>
      <c r="E83" s="219" t="s">
        <v>564</v>
      </c>
      <c r="F83" s="344" t="s">
        <v>564</v>
      </c>
      <c r="G83" s="317">
        <f>SUM(G80:G82)</f>
        <v>110000</v>
      </c>
      <c r="H83" s="410">
        <f>SUM(H80:H82)</f>
        <v>110000</v>
      </c>
      <c r="I83" s="41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3"/>
      <c r="AL83" s="413"/>
      <c r="AM83" s="413"/>
      <c r="AN83" s="413"/>
      <c r="AO83" s="413"/>
      <c r="AP83" s="413"/>
      <c r="AQ83" s="413"/>
      <c r="AR83" s="413"/>
      <c r="AS83" s="413"/>
      <c r="AT83" s="413"/>
      <c r="AU83" s="413"/>
      <c r="AV83" s="413"/>
      <c r="AW83" s="413"/>
    </row>
    <row r="84" spans="6:49" s="246" customFormat="1" ht="15.75"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</row>
    <row r="85" spans="1:49" s="246" customFormat="1" ht="69" customHeight="1">
      <c r="A85" s="554" t="s">
        <v>611</v>
      </c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</row>
    <row r="86" s="246" customFormat="1" ht="15.75"/>
    <row r="87" spans="1:11" ht="15.75" customHeight="1">
      <c r="A87" s="547" t="s">
        <v>612</v>
      </c>
      <c r="B87" s="547"/>
      <c r="C87" s="547"/>
      <c r="D87" s="547"/>
      <c r="E87" s="547"/>
      <c r="F87" s="547"/>
      <c r="G87" s="547"/>
      <c r="H87" s="547"/>
      <c r="I87" s="547"/>
      <c r="J87" s="547"/>
      <c r="K87" s="547"/>
    </row>
    <row r="88" spans="1:11" ht="15.75" customHeight="1">
      <c r="A88" s="245"/>
      <c r="B88" s="245"/>
      <c r="C88" s="245"/>
      <c r="D88" s="245"/>
      <c r="E88" s="245"/>
      <c r="F88" s="245"/>
      <c r="G88" s="245"/>
      <c r="H88" s="245"/>
      <c r="I88" s="245"/>
      <c r="J88" s="245"/>
      <c r="K88" s="245"/>
    </row>
    <row r="89" spans="2:31" ht="15.75" customHeight="1">
      <c r="B89" s="194" t="s">
        <v>613</v>
      </c>
      <c r="C89" s="194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</row>
    <row r="90" spans="2:31" ht="15.75" customHeight="1">
      <c r="B90" s="187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</row>
    <row r="91" spans="2:31" ht="15.75" customHeight="1">
      <c r="B91" s="194" t="s">
        <v>544</v>
      </c>
      <c r="C91" s="194"/>
      <c r="D91" s="194" t="s">
        <v>606</v>
      </c>
      <c r="E91" s="194"/>
      <c r="F91" s="194"/>
      <c r="G91" s="194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</row>
    <row r="92" spans="1:4" ht="15.75" customHeight="1">
      <c r="A92" s="195"/>
      <c r="B92" s="195"/>
      <c r="C92" s="195"/>
      <c r="D92" s="195"/>
    </row>
    <row r="93" spans="1:8" ht="15.75" customHeight="1">
      <c r="A93" s="535" t="s">
        <v>547</v>
      </c>
      <c r="B93" s="533" t="s">
        <v>614</v>
      </c>
      <c r="C93" s="533"/>
      <c r="D93" s="525" t="s">
        <v>615</v>
      </c>
      <c r="E93" s="525" t="s">
        <v>616</v>
      </c>
      <c r="F93" s="555" t="s">
        <v>581</v>
      </c>
      <c r="G93" s="556"/>
      <c r="H93" s="557"/>
    </row>
    <row r="94" spans="1:8" ht="51.75" customHeight="1">
      <c r="A94" s="536"/>
      <c r="B94" s="533"/>
      <c r="C94" s="533"/>
      <c r="D94" s="526"/>
      <c r="E94" s="526"/>
      <c r="F94" s="259" t="s">
        <v>617</v>
      </c>
      <c r="G94" s="226" t="s">
        <v>559</v>
      </c>
      <c r="H94" s="228" t="s">
        <v>565</v>
      </c>
    </row>
    <row r="95" spans="1:8" ht="15.75">
      <c r="A95" s="260">
        <v>1</v>
      </c>
      <c r="B95" s="558">
        <v>2</v>
      </c>
      <c r="C95" s="558"/>
      <c r="D95" s="260">
        <v>3</v>
      </c>
      <c r="E95" s="260">
        <v>4</v>
      </c>
      <c r="F95" s="260">
        <v>5</v>
      </c>
      <c r="G95" s="261">
        <v>6</v>
      </c>
      <c r="H95" s="260">
        <v>7</v>
      </c>
    </row>
    <row r="96" spans="1:8" ht="15.75">
      <c r="A96" s="201">
        <v>1</v>
      </c>
      <c r="B96" s="559" t="s">
        <v>618</v>
      </c>
      <c r="C96" s="559"/>
      <c r="D96" s="262">
        <v>197314200</v>
      </c>
      <c r="E96" s="262">
        <v>1.5</v>
      </c>
      <c r="F96" s="233"/>
      <c r="G96" s="234"/>
      <c r="H96" s="263">
        <f>D96*E96%</f>
        <v>2959713</v>
      </c>
    </row>
    <row r="97" spans="1:8" ht="15.75">
      <c r="A97" s="201">
        <v>2</v>
      </c>
      <c r="B97" s="559" t="s">
        <v>619</v>
      </c>
      <c r="C97" s="559"/>
      <c r="D97" s="264"/>
      <c r="E97" s="264"/>
      <c r="F97" s="233"/>
      <c r="G97" s="234"/>
      <c r="H97" s="263"/>
    </row>
    <row r="98" spans="1:8" ht="33.75" customHeight="1">
      <c r="A98" s="201">
        <v>3</v>
      </c>
      <c r="B98" s="560" t="s">
        <v>620</v>
      </c>
      <c r="C98" s="560"/>
      <c r="D98" s="207"/>
      <c r="E98" s="207"/>
      <c r="F98" s="207"/>
      <c r="G98" s="234"/>
      <c r="H98" s="263"/>
    </row>
    <row r="99" spans="1:8" ht="15.75">
      <c r="A99" s="201">
        <v>4</v>
      </c>
      <c r="B99" s="559"/>
      <c r="C99" s="559"/>
      <c r="D99" s="207"/>
      <c r="E99" s="265"/>
      <c r="F99" s="207"/>
      <c r="G99" s="234"/>
      <c r="H99" s="263"/>
    </row>
    <row r="100" spans="1:8" ht="15.75">
      <c r="A100" s="201">
        <v>5</v>
      </c>
      <c r="B100" s="559"/>
      <c r="C100" s="559"/>
      <c r="D100" s="207"/>
      <c r="E100" s="265"/>
      <c r="F100" s="207"/>
      <c r="G100" s="234"/>
      <c r="H100" s="263"/>
    </row>
    <row r="101" spans="1:8" ht="15.75">
      <c r="A101" s="561" t="s">
        <v>563</v>
      </c>
      <c r="B101" s="562"/>
      <c r="C101" s="563"/>
      <c r="D101" s="266">
        <f>SUM(D96:D100)</f>
        <v>197314200</v>
      </c>
      <c r="E101" s="267" t="s">
        <v>564</v>
      </c>
      <c r="F101" s="207"/>
      <c r="G101" s="234"/>
      <c r="H101" s="268">
        <f>SUM(H96:H100)</f>
        <v>2959713</v>
      </c>
    </row>
    <row r="102" spans="1:7" ht="15.75">
      <c r="A102" s="193"/>
      <c r="B102" s="193"/>
      <c r="C102" s="193"/>
      <c r="D102" s="193"/>
      <c r="E102" s="193"/>
      <c r="F102" s="193"/>
      <c r="G102" s="193"/>
    </row>
    <row r="103" spans="1:11" ht="49.5" customHeight="1">
      <c r="A103" s="564" t="s">
        <v>621</v>
      </c>
      <c r="B103" s="564"/>
      <c r="C103" s="564"/>
      <c r="D103" s="564"/>
      <c r="E103" s="564"/>
      <c r="F103" s="564"/>
      <c r="G103" s="564"/>
      <c r="H103" s="564"/>
      <c r="I103" s="564"/>
      <c r="J103" s="564"/>
      <c r="K103" s="564"/>
    </row>
    <row r="104" spans="1:7" ht="15.75">
      <c r="A104" s="193"/>
      <c r="B104" s="193"/>
      <c r="C104" s="193"/>
      <c r="D104" s="193"/>
      <c r="E104" s="193"/>
      <c r="F104" s="193"/>
      <c r="G104" s="193"/>
    </row>
    <row r="105" spans="1:11" ht="15.75">
      <c r="A105" s="565" t="s">
        <v>622</v>
      </c>
      <c r="B105" s="565"/>
      <c r="C105" s="565"/>
      <c r="D105" s="565"/>
      <c r="E105" s="565"/>
      <c r="F105" s="565"/>
      <c r="G105" s="565"/>
      <c r="H105" s="565"/>
      <c r="I105" s="565"/>
      <c r="J105" s="565"/>
      <c r="K105" s="565"/>
    </row>
    <row r="106" spans="1:7" ht="17.25" customHeight="1">
      <c r="A106" s="566" t="s">
        <v>623</v>
      </c>
      <c r="B106" s="566"/>
      <c r="C106" s="566"/>
      <c r="D106" s="566"/>
      <c r="E106" s="566"/>
      <c r="F106" s="193"/>
      <c r="G106" s="193"/>
    </row>
    <row r="107" spans="2:31" ht="15.75" customHeight="1">
      <c r="B107" s="194" t="s">
        <v>624</v>
      </c>
      <c r="C107" s="194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</row>
    <row r="108" spans="2:31" ht="15.75" customHeight="1">
      <c r="B108" s="187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</row>
    <row r="109" spans="2:31" ht="15.75" customHeight="1">
      <c r="B109" s="194" t="s">
        <v>544</v>
      </c>
      <c r="C109" s="194"/>
      <c r="D109" s="194" t="s">
        <v>606</v>
      </c>
      <c r="E109" s="194"/>
      <c r="F109" s="194"/>
      <c r="G109" s="194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</row>
    <row r="110" spans="1:7" ht="17.25" customHeight="1">
      <c r="A110" s="269"/>
      <c r="B110" s="269"/>
      <c r="C110" s="269"/>
      <c r="D110" s="269"/>
      <c r="E110" s="269"/>
      <c r="F110" s="193"/>
      <c r="G110" s="193"/>
    </row>
    <row r="111" spans="1:8" ht="15.75">
      <c r="A111" s="535" t="s">
        <v>547</v>
      </c>
      <c r="B111" s="567" t="s">
        <v>1</v>
      </c>
      <c r="C111" s="567" t="s">
        <v>607</v>
      </c>
      <c r="D111" s="567" t="s">
        <v>608</v>
      </c>
      <c r="E111" s="568" t="s">
        <v>581</v>
      </c>
      <c r="F111" s="569"/>
      <c r="G111" s="570"/>
      <c r="H111" s="258"/>
    </row>
    <row r="112" spans="1:50" ht="48.75" customHeight="1">
      <c r="A112" s="536"/>
      <c r="B112" s="567"/>
      <c r="C112" s="567"/>
      <c r="D112" s="567"/>
      <c r="E112" s="271" t="s">
        <v>609</v>
      </c>
      <c r="F112" s="272" t="s">
        <v>559</v>
      </c>
      <c r="G112" s="237" t="s">
        <v>565</v>
      </c>
      <c r="H112" s="273"/>
      <c r="I112" s="274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8"/>
      <c r="AS112" s="248"/>
      <c r="AT112" s="248"/>
      <c r="AU112" s="248"/>
      <c r="AV112" s="248"/>
      <c r="AW112" s="248"/>
      <c r="AX112" s="193"/>
    </row>
    <row r="113" spans="1:50" ht="14.25" customHeight="1">
      <c r="A113" s="230">
        <v>1</v>
      </c>
      <c r="B113" s="275">
        <v>2</v>
      </c>
      <c r="C113" s="275">
        <v>3</v>
      </c>
      <c r="D113" s="275">
        <v>4</v>
      </c>
      <c r="E113" s="275">
        <v>5</v>
      </c>
      <c r="F113" s="231">
        <v>6</v>
      </c>
      <c r="G113" s="230">
        <v>7</v>
      </c>
      <c r="H113" s="232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193"/>
    </row>
    <row r="114" spans="1:50" ht="15.75">
      <c r="A114" s="201"/>
      <c r="B114" s="271"/>
      <c r="C114" s="276"/>
      <c r="D114" s="276"/>
      <c r="E114" s="276"/>
      <c r="F114" s="256"/>
      <c r="G114" s="276"/>
      <c r="H114" s="277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193"/>
    </row>
    <row r="115" spans="1:50" ht="15.75">
      <c r="A115" s="201"/>
      <c r="B115" s="271"/>
      <c r="C115" s="276"/>
      <c r="D115" s="276"/>
      <c r="E115" s="276"/>
      <c r="F115" s="256"/>
      <c r="G115" s="276"/>
      <c r="H115" s="277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193"/>
    </row>
    <row r="116" spans="1:50" ht="15.75">
      <c r="A116" s="561" t="s">
        <v>563</v>
      </c>
      <c r="B116" s="563"/>
      <c r="C116" s="276" t="s">
        <v>564</v>
      </c>
      <c r="D116" s="276" t="s">
        <v>564</v>
      </c>
      <c r="E116" s="276"/>
      <c r="F116" s="256"/>
      <c r="G116" s="276"/>
      <c r="H116" s="277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257"/>
      <c r="AR116" s="257"/>
      <c r="AS116" s="257"/>
      <c r="AT116" s="257"/>
      <c r="AU116" s="257"/>
      <c r="AV116" s="257"/>
      <c r="AW116" s="257"/>
      <c r="AX116" s="193"/>
    </row>
    <row r="117" spans="1:50" ht="15.75">
      <c r="A117" s="278"/>
      <c r="B117" s="278"/>
      <c r="C117" s="277"/>
      <c r="D117" s="277"/>
      <c r="E117" s="277"/>
      <c r="F117" s="277"/>
      <c r="G117" s="277"/>
      <c r="H117" s="277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257"/>
      <c r="AS117" s="257"/>
      <c r="AT117" s="257"/>
      <c r="AU117" s="257"/>
      <c r="AV117" s="257"/>
      <c r="AW117" s="257"/>
      <c r="AX117" s="193"/>
    </row>
    <row r="118" spans="1:50" ht="36" customHeight="1">
      <c r="A118" s="571" t="s">
        <v>625</v>
      </c>
      <c r="B118" s="571"/>
      <c r="C118" s="571"/>
      <c r="D118" s="571"/>
      <c r="E118" s="571"/>
      <c r="F118" s="571"/>
      <c r="G118" s="571"/>
      <c r="H118" s="571"/>
      <c r="I118" s="571"/>
      <c r="J118" s="571"/>
      <c r="K118" s="571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57"/>
      <c r="AL118" s="257"/>
      <c r="AM118" s="257"/>
      <c r="AN118" s="257"/>
      <c r="AO118" s="257"/>
      <c r="AP118" s="257"/>
      <c r="AQ118" s="257"/>
      <c r="AR118" s="257"/>
      <c r="AS118" s="257"/>
      <c r="AT118" s="257"/>
      <c r="AU118" s="257"/>
      <c r="AV118" s="257"/>
      <c r="AW118" s="257"/>
      <c r="AX118" s="193"/>
    </row>
    <row r="119" spans="2:11" ht="15.75">
      <c r="B119" s="187"/>
      <c r="I119" s="193"/>
      <c r="J119" s="279"/>
      <c r="K119" s="279"/>
    </row>
    <row r="120" spans="1:12" ht="15.75" customHeight="1">
      <c r="A120" s="572" t="s">
        <v>626</v>
      </c>
      <c r="B120" s="572"/>
      <c r="C120" s="572"/>
      <c r="D120" s="572"/>
      <c r="E120" s="572"/>
      <c r="F120" s="572"/>
      <c r="G120" s="572"/>
      <c r="H120" s="572"/>
      <c r="I120" s="572"/>
      <c r="J120" s="572"/>
      <c r="K120" s="572"/>
      <c r="L120" s="281"/>
    </row>
    <row r="121" spans="1:12" ht="15.75" customHeight="1">
      <c r="A121" s="280"/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1"/>
    </row>
    <row r="122" spans="2:31" ht="15.75" customHeight="1">
      <c r="B122" s="194" t="s">
        <v>624</v>
      </c>
      <c r="C122" s="194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2:31" ht="15.75" customHeight="1">
      <c r="B123" s="187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</row>
    <row r="124" spans="2:31" ht="15.75" customHeight="1">
      <c r="B124" s="194" t="s">
        <v>544</v>
      </c>
      <c r="C124" s="194"/>
      <c r="D124" s="194" t="s">
        <v>606</v>
      </c>
      <c r="E124" s="194"/>
      <c r="F124" s="194"/>
      <c r="G124" s="194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12" ht="15.75" customHeight="1">
      <c r="A125" s="225"/>
      <c r="B125" s="225"/>
      <c r="C125" s="225"/>
      <c r="D125" s="225"/>
      <c r="E125" s="225"/>
      <c r="F125" s="225"/>
      <c r="G125" s="281"/>
      <c r="H125" s="281"/>
      <c r="I125" s="281"/>
      <c r="J125" s="281"/>
      <c r="K125" s="281"/>
      <c r="L125" s="281"/>
    </row>
    <row r="126" spans="1:8" ht="15.75" customHeight="1">
      <c r="A126" s="535" t="s">
        <v>547</v>
      </c>
      <c r="B126" s="567" t="s">
        <v>1</v>
      </c>
      <c r="C126" s="567" t="s">
        <v>607</v>
      </c>
      <c r="D126" s="567" t="s">
        <v>608</v>
      </c>
      <c r="E126" s="568" t="s">
        <v>581</v>
      </c>
      <c r="F126" s="569"/>
      <c r="G126" s="570"/>
      <c r="H126" s="258"/>
    </row>
    <row r="127" spans="1:50" ht="47.25" customHeight="1">
      <c r="A127" s="536"/>
      <c r="B127" s="567"/>
      <c r="C127" s="567"/>
      <c r="D127" s="567"/>
      <c r="E127" s="271" t="s">
        <v>609</v>
      </c>
      <c r="F127" s="237" t="s">
        <v>559</v>
      </c>
      <c r="G127" s="237" t="s">
        <v>565</v>
      </c>
      <c r="H127" s="273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8"/>
      <c r="AU127" s="248"/>
      <c r="AV127" s="248"/>
      <c r="AW127" s="248"/>
      <c r="AX127" s="193"/>
    </row>
    <row r="128" spans="1:50" ht="12" customHeight="1">
      <c r="A128" s="282">
        <v>1</v>
      </c>
      <c r="B128" s="283">
        <v>2</v>
      </c>
      <c r="C128" s="283">
        <v>3</v>
      </c>
      <c r="D128" s="283">
        <v>4</v>
      </c>
      <c r="E128" s="275">
        <v>5</v>
      </c>
      <c r="F128" s="230">
        <v>6</v>
      </c>
      <c r="G128" s="230">
        <v>7</v>
      </c>
      <c r="H128" s="232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193"/>
    </row>
    <row r="129" spans="1:50" ht="15.75">
      <c r="A129" s="201"/>
      <c r="B129" s="197"/>
      <c r="C129" s="203"/>
      <c r="D129" s="203"/>
      <c r="E129" s="276"/>
      <c r="F129" s="276"/>
      <c r="G129" s="276"/>
      <c r="H129" s="277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193"/>
    </row>
    <row r="130" spans="1:50" ht="15.75">
      <c r="A130" s="201"/>
      <c r="B130" s="197"/>
      <c r="C130" s="203"/>
      <c r="D130" s="203"/>
      <c r="E130" s="276"/>
      <c r="F130" s="276"/>
      <c r="G130" s="276"/>
      <c r="H130" s="277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193"/>
    </row>
    <row r="131" spans="1:50" ht="15.75">
      <c r="A131" s="561" t="s">
        <v>563</v>
      </c>
      <c r="B131" s="563"/>
      <c r="C131" s="203" t="s">
        <v>564</v>
      </c>
      <c r="D131" s="203" t="s">
        <v>564</v>
      </c>
      <c r="E131" s="276"/>
      <c r="F131" s="276"/>
      <c r="G131" s="276"/>
      <c r="H131" s="277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  <c r="AG131" s="257"/>
      <c r="AH131" s="257"/>
      <c r="AI131" s="257"/>
      <c r="AJ131" s="257"/>
      <c r="AK131" s="257"/>
      <c r="AL131" s="257"/>
      <c r="AM131" s="257"/>
      <c r="AN131" s="257"/>
      <c r="AO131" s="257"/>
      <c r="AP131" s="257"/>
      <c r="AQ131" s="257"/>
      <c r="AR131" s="257"/>
      <c r="AS131" s="257"/>
      <c r="AT131" s="257"/>
      <c r="AU131" s="257"/>
      <c r="AV131" s="257"/>
      <c r="AW131" s="257"/>
      <c r="AX131" s="193"/>
    </row>
    <row r="132" spans="1:50" ht="15.75">
      <c r="A132" s="238"/>
      <c r="B132" s="193"/>
      <c r="C132" s="238"/>
      <c r="D132" s="238"/>
      <c r="E132" s="238"/>
      <c r="F132" s="238"/>
      <c r="G132" s="193"/>
      <c r="H132" s="279"/>
      <c r="I132" s="279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</row>
    <row r="133" spans="1:50" ht="39" customHeight="1">
      <c r="A133" s="564" t="s">
        <v>627</v>
      </c>
      <c r="B133" s="564"/>
      <c r="C133" s="564"/>
      <c r="D133" s="564"/>
      <c r="E133" s="564"/>
      <c r="F133" s="564"/>
      <c r="G133" s="564"/>
      <c r="H133" s="564"/>
      <c r="I133" s="564"/>
      <c r="J133" s="564"/>
      <c r="K133" s="564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</row>
    <row r="134" spans="1:50" ht="15.75">
      <c r="A134" s="238"/>
      <c r="B134" s="193"/>
      <c r="C134" s="238"/>
      <c r="D134" s="238"/>
      <c r="E134" s="238"/>
      <c r="F134" s="238"/>
      <c r="G134" s="193"/>
      <c r="H134" s="279"/>
      <c r="I134" s="279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</row>
    <row r="135" spans="1:11" ht="15.75">
      <c r="A135" s="565" t="s">
        <v>628</v>
      </c>
      <c r="B135" s="565"/>
      <c r="C135" s="565"/>
      <c r="D135" s="565"/>
      <c r="E135" s="565"/>
      <c r="F135" s="565"/>
      <c r="G135" s="565"/>
      <c r="H135" s="565"/>
      <c r="I135" s="565"/>
      <c r="J135" s="565"/>
      <c r="K135" s="565"/>
    </row>
    <row r="136" spans="1:10" ht="15.75">
      <c r="A136" s="238"/>
      <c r="B136" s="193"/>
      <c r="C136" s="238"/>
      <c r="D136" s="238"/>
      <c r="E136" s="238"/>
      <c r="F136" s="238"/>
      <c r="G136" s="193"/>
      <c r="H136" s="279"/>
      <c r="I136" s="279"/>
      <c r="J136" s="193"/>
    </row>
    <row r="137" spans="2:31" ht="15.75" customHeight="1">
      <c r="B137" s="194" t="s">
        <v>629</v>
      </c>
      <c r="C137" s="194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</row>
    <row r="138" spans="2:31" ht="15.75" customHeight="1">
      <c r="B138" s="187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</row>
    <row r="139" spans="2:31" ht="15.75" customHeight="1">
      <c r="B139" s="194" t="s">
        <v>544</v>
      </c>
      <c r="C139" s="194"/>
      <c r="D139" s="194" t="s">
        <v>606</v>
      </c>
      <c r="E139" s="194"/>
      <c r="F139" s="194"/>
      <c r="G139" s="194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</row>
    <row r="140" spans="1:10" ht="15.75">
      <c r="A140" s="238"/>
      <c r="B140" s="193"/>
      <c r="C140" s="238"/>
      <c r="D140" s="238"/>
      <c r="E140" s="238"/>
      <c r="F140" s="238"/>
      <c r="G140" s="193"/>
      <c r="H140" s="279"/>
      <c r="I140" s="279"/>
      <c r="J140" s="193"/>
    </row>
    <row r="141" spans="1:10" ht="15.75">
      <c r="A141" s="238"/>
      <c r="B141" s="224" t="s">
        <v>630</v>
      </c>
      <c r="C141" s="238"/>
      <c r="D141" s="238"/>
      <c r="E141" s="238"/>
      <c r="F141" s="238"/>
      <c r="G141" s="193"/>
      <c r="H141" s="279"/>
      <c r="I141" s="279"/>
      <c r="J141" s="193"/>
    </row>
    <row r="142" spans="1:10" ht="15.75">
      <c r="A142" s="284"/>
      <c r="B142" s="284"/>
      <c r="C142" s="284"/>
      <c r="D142" s="284"/>
      <c r="E142" s="238"/>
      <c r="F142" s="238"/>
      <c r="G142" s="193"/>
      <c r="H142" s="279"/>
      <c r="I142" s="279"/>
      <c r="J142" s="193"/>
    </row>
    <row r="143" spans="1:36" ht="22.5" customHeight="1">
      <c r="A143" s="535" t="s">
        <v>547</v>
      </c>
      <c r="B143" s="567" t="s">
        <v>568</v>
      </c>
      <c r="C143" s="567" t="s">
        <v>631</v>
      </c>
      <c r="D143" s="567" t="s">
        <v>632</v>
      </c>
      <c r="E143" s="567" t="s">
        <v>633</v>
      </c>
      <c r="F143" s="568" t="s">
        <v>581</v>
      </c>
      <c r="G143" s="569"/>
      <c r="H143" s="570"/>
      <c r="I143" s="258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</row>
    <row r="144" spans="1:36" ht="56.25" customHeight="1">
      <c r="A144" s="536"/>
      <c r="B144" s="567"/>
      <c r="C144" s="567"/>
      <c r="D144" s="567"/>
      <c r="E144" s="567"/>
      <c r="F144" s="247" t="s">
        <v>634</v>
      </c>
      <c r="G144" s="226" t="s">
        <v>559</v>
      </c>
      <c r="H144" s="228" t="s">
        <v>565</v>
      </c>
      <c r="I144" s="273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5"/>
      <c r="AJ144" s="193"/>
    </row>
    <row r="145" spans="1:36" ht="15.75">
      <c r="A145" s="202">
        <v>1</v>
      </c>
      <c r="B145" s="202">
        <v>2</v>
      </c>
      <c r="C145" s="202">
        <v>3</v>
      </c>
      <c r="D145" s="202">
        <v>4</v>
      </c>
      <c r="E145" s="202">
        <v>5</v>
      </c>
      <c r="F145" s="205">
        <v>6</v>
      </c>
      <c r="G145" s="231">
        <v>7</v>
      </c>
      <c r="H145" s="230">
        <v>8</v>
      </c>
      <c r="I145" s="232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86"/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  <c r="AH145" s="286"/>
      <c r="AI145" s="286"/>
      <c r="AJ145" s="193"/>
    </row>
    <row r="146" spans="1:36" ht="39">
      <c r="A146" s="239" t="s">
        <v>610</v>
      </c>
      <c r="B146" s="287" t="s">
        <v>635</v>
      </c>
      <c r="C146" s="288">
        <v>6</v>
      </c>
      <c r="D146" s="289">
        <v>11</v>
      </c>
      <c r="E146" s="290">
        <v>484.85</v>
      </c>
      <c r="F146" s="291">
        <f>SUM(G146:H146)</f>
        <v>32000.100000000002</v>
      </c>
      <c r="G146" s="291">
        <v>0</v>
      </c>
      <c r="H146" s="291">
        <f>C146*D146*E146</f>
        <v>32000.100000000002</v>
      </c>
      <c r="I146" s="277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193"/>
    </row>
    <row r="147" spans="1:36" ht="26.25">
      <c r="A147" s="239" t="s">
        <v>590</v>
      </c>
      <c r="B147" s="287" t="s">
        <v>636</v>
      </c>
      <c r="C147" s="290" t="s">
        <v>564</v>
      </c>
      <c r="D147" s="290">
        <v>12</v>
      </c>
      <c r="E147" s="290">
        <v>6000</v>
      </c>
      <c r="F147" s="290">
        <f>E147*12</f>
        <v>72000</v>
      </c>
      <c r="G147" s="290">
        <f>F147</f>
        <v>72000</v>
      </c>
      <c r="H147" s="291">
        <v>0</v>
      </c>
      <c r="I147" s="277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193"/>
    </row>
    <row r="148" spans="1:36" ht="15.75">
      <c r="A148" s="573" t="s">
        <v>637</v>
      </c>
      <c r="B148" s="574"/>
      <c r="C148" s="267" t="s">
        <v>564</v>
      </c>
      <c r="D148" s="267" t="s">
        <v>564</v>
      </c>
      <c r="E148" s="267" t="s">
        <v>564</v>
      </c>
      <c r="F148" s="292">
        <f>SUM(F146:F147)</f>
        <v>104000.1</v>
      </c>
      <c r="G148" s="293">
        <f>SUM(G146:G147)</f>
        <v>72000</v>
      </c>
      <c r="H148" s="294">
        <f>SUM(H146:H147)</f>
        <v>32000.100000000002</v>
      </c>
      <c r="I148" s="277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95"/>
      <c r="W148" s="295"/>
      <c r="X148" s="295"/>
      <c r="Y148" s="295"/>
      <c r="Z148" s="295"/>
      <c r="AA148" s="295"/>
      <c r="AB148" s="295"/>
      <c r="AC148" s="295"/>
      <c r="AD148" s="295"/>
      <c r="AE148" s="295"/>
      <c r="AF148" s="295"/>
      <c r="AG148" s="295"/>
      <c r="AH148" s="295"/>
      <c r="AI148" s="295"/>
      <c r="AJ148" s="193"/>
    </row>
    <row r="149" spans="1:10" ht="15.75">
      <c r="A149" s="238"/>
      <c r="B149" s="193"/>
      <c r="C149" s="238"/>
      <c r="D149" s="238"/>
      <c r="E149" s="238"/>
      <c r="F149" s="238"/>
      <c r="G149" s="193"/>
      <c r="H149" s="279"/>
      <c r="I149" s="279"/>
      <c r="J149" s="193"/>
    </row>
    <row r="150" spans="1:11" ht="151.5" customHeight="1">
      <c r="A150" s="564" t="s">
        <v>638</v>
      </c>
      <c r="B150" s="564"/>
      <c r="C150" s="564"/>
      <c r="D150" s="564"/>
      <c r="E150" s="564"/>
      <c r="F150" s="564"/>
      <c r="G150" s="564"/>
      <c r="H150" s="564"/>
      <c r="I150" s="564"/>
      <c r="J150" s="564"/>
      <c r="K150" s="564"/>
    </row>
    <row r="151" spans="1:10" ht="15.75">
      <c r="A151" s="238"/>
      <c r="B151" s="193"/>
      <c r="C151" s="238"/>
      <c r="D151" s="238"/>
      <c r="E151" s="238"/>
      <c r="F151" s="238"/>
      <c r="G151" s="193"/>
      <c r="H151" s="279"/>
      <c r="I151" s="279"/>
      <c r="J151" s="193"/>
    </row>
    <row r="152" spans="1:10" ht="15.75">
      <c r="A152" s="284"/>
      <c r="B152" s="284" t="s">
        <v>639</v>
      </c>
      <c r="C152" s="284"/>
      <c r="D152" s="284"/>
      <c r="E152" s="284"/>
      <c r="F152" s="238"/>
      <c r="G152" s="193"/>
      <c r="H152" s="279"/>
      <c r="I152" s="279"/>
      <c r="J152" s="193"/>
    </row>
    <row r="153" spans="1:10" ht="15.75">
      <c r="A153" s="238"/>
      <c r="B153" s="193"/>
      <c r="C153" s="238"/>
      <c r="D153" s="238"/>
      <c r="E153" s="238"/>
      <c r="F153" s="238"/>
      <c r="G153" s="193"/>
      <c r="H153" s="279"/>
      <c r="I153" s="279"/>
      <c r="J153" s="193"/>
    </row>
    <row r="154" spans="1:10" ht="15.75">
      <c r="A154" s="535" t="s">
        <v>547</v>
      </c>
      <c r="B154" s="567" t="s">
        <v>568</v>
      </c>
      <c r="C154" s="567" t="s">
        <v>640</v>
      </c>
      <c r="D154" s="567" t="s">
        <v>641</v>
      </c>
      <c r="E154" s="568" t="s">
        <v>581</v>
      </c>
      <c r="F154" s="569"/>
      <c r="G154" s="570"/>
      <c r="H154" s="258"/>
      <c r="I154" s="279"/>
      <c r="J154" s="193"/>
    </row>
    <row r="155" spans="1:10" ht="31.5">
      <c r="A155" s="536"/>
      <c r="B155" s="567"/>
      <c r="C155" s="567"/>
      <c r="D155" s="567"/>
      <c r="E155" s="271" t="s">
        <v>642</v>
      </c>
      <c r="F155" s="272" t="s">
        <v>559</v>
      </c>
      <c r="G155" s="237" t="s">
        <v>565</v>
      </c>
      <c r="H155" s="273"/>
      <c r="I155" s="279"/>
      <c r="J155" s="193"/>
    </row>
    <row r="156" spans="1:10" ht="15.75">
      <c r="A156" s="282">
        <v>1</v>
      </c>
      <c r="B156" s="283">
        <v>2</v>
      </c>
      <c r="C156" s="283">
        <v>3</v>
      </c>
      <c r="D156" s="283">
        <v>4</v>
      </c>
      <c r="E156" s="275">
        <v>5</v>
      </c>
      <c r="F156" s="231">
        <v>6</v>
      </c>
      <c r="G156" s="230">
        <v>7</v>
      </c>
      <c r="H156" s="232"/>
      <c r="I156" s="279"/>
      <c r="J156" s="193"/>
    </row>
    <row r="157" spans="1:10" ht="15.75">
      <c r="A157" s="201"/>
      <c r="B157" s="197"/>
      <c r="C157" s="203"/>
      <c r="D157" s="203"/>
      <c r="E157" s="276"/>
      <c r="F157" s="256"/>
      <c r="G157" s="276"/>
      <c r="H157" s="277"/>
      <c r="I157" s="279"/>
      <c r="J157" s="193"/>
    </row>
    <row r="158" spans="1:10" ht="15.75">
      <c r="A158" s="201"/>
      <c r="B158" s="197"/>
      <c r="C158" s="203"/>
      <c r="D158" s="203"/>
      <c r="E158" s="276"/>
      <c r="F158" s="256"/>
      <c r="G158" s="276"/>
      <c r="H158" s="277"/>
      <c r="I158" s="279"/>
      <c r="J158" s="193"/>
    </row>
    <row r="159" spans="1:10" ht="15.75">
      <c r="A159" s="561" t="s">
        <v>563</v>
      </c>
      <c r="B159" s="563"/>
      <c r="C159" s="203" t="s">
        <v>564</v>
      </c>
      <c r="D159" s="203" t="s">
        <v>564</v>
      </c>
      <c r="E159" s="276"/>
      <c r="F159" s="256"/>
      <c r="G159" s="276"/>
      <c r="H159" s="277"/>
      <c r="I159" s="279"/>
      <c r="J159" s="193"/>
    </row>
    <row r="160" spans="1:10" ht="15.75">
      <c r="A160" s="238"/>
      <c r="B160" s="193"/>
      <c r="C160" s="238"/>
      <c r="D160" s="238"/>
      <c r="E160" s="238"/>
      <c r="F160" s="238"/>
      <c r="G160" s="193"/>
      <c r="H160" s="279"/>
      <c r="I160" s="279"/>
      <c r="J160" s="193"/>
    </row>
    <row r="161" spans="1:11" ht="36" customHeight="1">
      <c r="A161" s="575" t="s">
        <v>643</v>
      </c>
      <c r="B161" s="575"/>
      <c r="C161" s="575"/>
      <c r="D161" s="575"/>
      <c r="E161" s="575"/>
      <c r="F161" s="575"/>
      <c r="G161" s="575"/>
      <c r="H161" s="575"/>
      <c r="I161" s="575"/>
      <c r="J161" s="575"/>
      <c r="K161" s="575"/>
    </row>
    <row r="162" spans="1:10" ht="15.75">
      <c r="A162" s="238"/>
      <c r="B162" s="193"/>
      <c r="C162" s="238"/>
      <c r="D162" s="238"/>
      <c r="E162" s="238"/>
      <c r="F162" s="238"/>
      <c r="G162" s="193"/>
      <c r="H162" s="279"/>
      <c r="I162" s="279"/>
      <c r="J162" s="193"/>
    </row>
    <row r="163" spans="1:10" ht="15.75">
      <c r="A163" s="284"/>
      <c r="B163" s="284" t="s">
        <v>644</v>
      </c>
      <c r="C163" s="284"/>
      <c r="D163" s="284"/>
      <c r="E163" s="284"/>
      <c r="F163" s="284"/>
      <c r="G163" s="193"/>
      <c r="H163" s="279"/>
      <c r="I163" s="279"/>
      <c r="J163" s="193"/>
    </row>
    <row r="164" spans="1:10" ht="15.75">
      <c r="A164" s="238"/>
      <c r="B164" s="193"/>
      <c r="C164" s="238"/>
      <c r="D164" s="238"/>
      <c r="E164" s="238"/>
      <c r="F164" s="238"/>
      <c r="G164" s="193"/>
      <c r="H164" s="279"/>
      <c r="I164" s="279"/>
      <c r="J164" s="193"/>
    </row>
    <row r="165" spans="1:10" ht="15.75" customHeight="1">
      <c r="A165" s="535" t="s">
        <v>547</v>
      </c>
      <c r="B165" s="567" t="s">
        <v>1</v>
      </c>
      <c r="C165" s="567" t="s">
        <v>645</v>
      </c>
      <c r="D165" s="567" t="s">
        <v>646</v>
      </c>
      <c r="E165" s="567" t="s">
        <v>647</v>
      </c>
      <c r="F165" s="568" t="s">
        <v>581</v>
      </c>
      <c r="G165" s="569"/>
      <c r="H165" s="570"/>
      <c r="I165" s="258"/>
      <c r="J165" s="193"/>
    </row>
    <row r="166" spans="1:10" ht="47.25">
      <c r="A166" s="536"/>
      <c r="B166" s="567"/>
      <c r="C166" s="567"/>
      <c r="D166" s="567"/>
      <c r="E166" s="567"/>
      <c r="F166" s="270" t="s">
        <v>634</v>
      </c>
      <c r="G166" s="237" t="s">
        <v>559</v>
      </c>
      <c r="H166" s="237" t="s">
        <v>565</v>
      </c>
      <c r="I166" s="273"/>
      <c r="J166" s="193"/>
    </row>
    <row r="167" spans="1:10" ht="15.75">
      <c r="A167" s="202">
        <v>1</v>
      </c>
      <c r="B167" s="202">
        <v>2</v>
      </c>
      <c r="C167" s="202">
        <v>3</v>
      </c>
      <c r="D167" s="202">
        <v>4</v>
      </c>
      <c r="E167" s="202">
        <v>5</v>
      </c>
      <c r="F167" s="205">
        <v>6</v>
      </c>
      <c r="G167" s="230">
        <v>7</v>
      </c>
      <c r="H167" s="230">
        <v>8</v>
      </c>
      <c r="I167" s="232"/>
      <c r="J167" s="193"/>
    </row>
    <row r="168" spans="1:10" ht="15.75">
      <c r="A168" s="296" t="s">
        <v>610</v>
      </c>
      <c r="B168" s="297" t="s">
        <v>648</v>
      </c>
      <c r="C168" s="298">
        <f>675.25-5</f>
        <v>670.25</v>
      </c>
      <c r="D168" s="298">
        <v>1860.27</v>
      </c>
      <c r="E168" s="298">
        <v>0</v>
      </c>
      <c r="F168" s="299">
        <f>SUM(G168:H168)</f>
        <v>1231409.94</v>
      </c>
      <c r="G168" s="299">
        <v>0</v>
      </c>
      <c r="H168" s="266">
        <f>ROUND(C168*D168,2)-15436.03</f>
        <v>1231409.94</v>
      </c>
      <c r="I168" s="277"/>
      <c r="J168" s="193"/>
    </row>
    <row r="169" spans="1:10" ht="15.75">
      <c r="A169" s="296" t="s">
        <v>590</v>
      </c>
      <c r="B169" s="300" t="s">
        <v>649</v>
      </c>
      <c r="C169" s="301">
        <f>97108-22684</f>
        <v>74424</v>
      </c>
      <c r="D169" s="301">
        <v>6.32</v>
      </c>
      <c r="E169" s="298">
        <v>0</v>
      </c>
      <c r="F169" s="299">
        <f>SUM(G169:H169)</f>
        <v>470359.68</v>
      </c>
      <c r="G169" s="266"/>
      <c r="H169" s="266">
        <f>ROUND(C169*D169,2)</f>
        <v>470359.68</v>
      </c>
      <c r="I169" s="277"/>
      <c r="J169" s="193"/>
    </row>
    <row r="170" spans="1:10" ht="31.5">
      <c r="A170" s="296" t="s">
        <v>601</v>
      </c>
      <c r="B170" s="300" t="s">
        <v>650</v>
      </c>
      <c r="C170" s="301">
        <v>3054</v>
      </c>
      <c r="D170" s="301">
        <v>40.98</v>
      </c>
      <c r="E170" s="298">
        <v>0</v>
      </c>
      <c r="F170" s="299">
        <f>SUM(G170:H170)</f>
        <v>125152.92</v>
      </c>
      <c r="G170" s="266"/>
      <c r="H170" s="266">
        <f>ROUND(C170*D170,2)</f>
        <v>125152.92</v>
      </c>
      <c r="I170" s="277"/>
      <c r="J170" s="193"/>
    </row>
    <row r="171" spans="1:10" ht="18.75">
      <c r="A171" s="576" t="s">
        <v>637</v>
      </c>
      <c r="B171" s="577"/>
      <c r="C171" s="302" t="s">
        <v>564</v>
      </c>
      <c r="D171" s="302" t="s">
        <v>564</v>
      </c>
      <c r="E171" s="302" t="s">
        <v>564</v>
      </c>
      <c r="F171" s="303">
        <f>SUM(F168:F170)</f>
        <v>1826922.5399999998</v>
      </c>
      <c r="G171" s="303">
        <f>SUM(G168:G170)</f>
        <v>0</v>
      </c>
      <c r="H171" s="303">
        <f>SUM(H168:H170)</f>
        <v>1826922.5399999998</v>
      </c>
      <c r="I171" s="277"/>
      <c r="J171" s="193"/>
    </row>
    <row r="172" spans="1:10" ht="15.75">
      <c r="A172" s="238"/>
      <c r="B172" s="193"/>
      <c r="C172" s="238"/>
      <c r="D172" s="238"/>
      <c r="E172" s="238"/>
      <c r="F172" s="238"/>
      <c r="G172" s="193"/>
      <c r="H172" s="279"/>
      <c r="I172" s="279"/>
      <c r="J172" s="193"/>
    </row>
    <row r="173" spans="1:11" ht="66.75" customHeight="1">
      <c r="A173" s="564" t="s">
        <v>651</v>
      </c>
      <c r="B173" s="575"/>
      <c r="C173" s="575"/>
      <c r="D173" s="575"/>
      <c r="E173" s="575"/>
      <c r="F173" s="575"/>
      <c r="G173" s="575"/>
      <c r="H173" s="575"/>
      <c r="I173" s="575"/>
      <c r="J173" s="575"/>
      <c r="K173" s="575"/>
    </row>
    <row r="174" spans="1:10" ht="15.75">
      <c r="A174" s="238"/>
      <c r="B174" s="193"/>
      <c r="C174" s="238"/>
      <c r="D174" s="238"/>
      <c r="E174" s="238"/>
      <c r="F174" s="238"/>
      <c r="G174" s="193"/>
      <c r="H174" s="279"/>
      <c r="I174" s="279"/>
      <c r="J174" s="193"/>
    </row>
    <row r="175" spans="1:10" ht="15.75">
      <c r="A175" s="284"/>
      <c r="B175" s="284" t="s">
        <v>652</v>
      </c>
      <c r="C175" s="284"/>
      <c r="D175" s="284"/>
      <c r="E175" s="284"/>
      <c r="F175" s="238"/>
      <c r="G175" s="193"/>
      <c r="H175" s="279"/>
      <c r="I175" s="279"/>
      <c r="J175" s="193"/>
    </row>
    <row r="176" spans="1:10" ht="15.75">
      <c r="A176" s="238"/>
      <c r="B176" s="193"/>
      <c r="C176" s="238"/>
      <c r="D176" s="238"/>
      <c r="E176" s="238"/>
      <c r="F176" s="238"/>
      <c r="G176" s="193"/>
      <c r="H176" s="279"/>
      <c r="I176" s="279"/>
      <c r="J176" s="193"/>
    </row>
    <row r="177" spans="1:10" ht="15.75">
      <c r="A177" s="535" t="s">
        <v>547</v>
      </c>
      <c r="B177" s="567" t="s">
        <v>1</v>
      </c>
      <c r="C177" s="567" t="s">
        <v>653</v>
      </c>
      <c r="D177" s="567" t="s">
        <v>654</v>
      </c>
      <c r="E177" s="568" t="s">
        <v>581</v>
      </c>
      <c r="F177" s="569"/>
      <c r="G177" s="570"/>
      <c r="H177" s="258"/>
      <c r="I177" s="279"/>
      <c r="J177" s="193"/>
    </row>
    <row r="178" spans="1:10" ht="47.25">
      <c r="A178" s="536"/>
      <c r="B178" s="567"/>
      <c r="C178" s="567"/>
      <c r="D178" s="567"/>
      <c r="E178" s="271" t="s">
        <v>655</v>
      </c>
      <c r="F178" s="272" t="s">
        <v>559</v>
      </c>
      <c r="G178" s="237" t="s">
        <v>565</v>
      </c>
      <c r="H178" s="273"/>
      <c r="I178" s="279"/>
      <c r="J178" s="193"/>
    </row>
    <row r="179" spans="1:10" ht="15.75">
      <c r="A179" s="282">
        <v>1</v>
      </c>
      <c r="B179" s="283">
        <v>2</v>
      </c>
      <c r="C179" s="283">
        <v>3</v>
      </c>
      <c r="D179" s="283">
        <v>4</v>
      </c>
      <c r="E179" s="275">
        <v>5</v>
      </c>
      <c r="F179" s="231">
        <v>5</v>
      </c>
      <c r="G179" s="230">
        <v>6</v>
      </c>
      <c r="H179" s="232"/>
      <c r="I179" s="279"/>
      <c r="J179" s="193"/>
    </row>
    <row r="180" spans="1:10" ht="15.75">
      <c r="A180" s="201"/>
      <c r="B180" s="197"/>
      <c r="C180" s="203"/>
      <c r="D180" s="203"/>
      <c r="E180" s="276"/>
      <c r="F180" s="256"/>
      <c r="G180" s="276"/>
      <c r="H180" s="277"/>
      <c r="I180" s="279"/>
      <c r="J180" s="193"/>
    </row>
    <row r="181" spans="1:10" ht="15.75">
      <c r="A181" s="201"/>
      <c r="B181" s="197"/>
      <c r="C181" s="203"/>
      <c r="D181" s="203"/>
      <c r="E181" s="276"/>
      <c r="F181" s="256"/>
      <c r="G181" s="276"/>
      <c r="H181" s="277"/>
      <c r="I181" s="279"/>
      <c r="J181" s="193"/>
    </row>
    <row r="182" spans="1:10" ht="15.75">
      <c r="A182" s="561" t="s">
        <v>563</v>
      </c>
      <c r="B182" s="563"/>
      <c r="C182" s="203" t="s">
        <v>564</v>
      </c>
      <c r="D182" s="203" t="s">
        <v>564</v>
      </c>
      <c r="E182" s="276" t="s">
        <v>564</v>
      </c>
      <c r="F182" s="256"/>
      <c r="G182" s="276"/>
      <c r="H182" s="277"/>
      <c r="I182" s="279"/>
      <c r="J182" s="193"/>
    </row>
    <row r="183" spans="1:10" ht="15.75">
      <c r="A183" s="238"/>
      <c r="B183" s="193"/>
      <c r="C183" s="238"/>
      <c r="D183" s="238"/>
      <c r="E183" s="238"/>
      <c r="F183" s="238"/>
      <c r="G183" s="193"/>
      <c r="H183" s="279"/>
      <c r="I183" s="279"/>
      <c r="J183" s="193"/>
    </row>
    <row r="184" spans="1:11" ht="48" customHeight="1">
      <c r="A184" s="578" t="s">
        <v>656</v>
      </c>
      <c r="B184" s="578"/>
      <c r="C184" s="578"/>
      <c r="D184" s="578"/>
      <c r="E184" s="578"/>
      <c r="F184" s="578"/>
      <c r="G184" s="578"/>
      <c r="H184" s="578"/>
      <c r="I184" s="578"/>
      <c r="J184" s="578"/>
      <c r="K184" s="578"/>
    </row>
    <row r="185" spans="1:10" ht="15.75">
      <c r="A185" s="238"/>
      <c r="B185" s="193"/>
      <c r="C185" s="238"/>
      <c r="D185" s="238"/>
      <c r="E185" s="238"/>
      <c r="F185" s="238"/>
      <c r="G185" s="193"/>
      <c r="H185" s="279"/>
      <c r="I185" s="279"/>
      <c r="J185" s="193"/>
    </row>
    <row r="186" spans="1:10" ht="15.75">
      <c r="A186" s="284"/>
      <c r="B186" s="284" t="s">
        <v>657</v>
      </c>
      <c r="C186" s="284"/>
      <c r="D186" s="284"/>
      <c r="E186" s="284"/>
      <c r="F186" s="284"/>
      <c r="G186" s="193"/>
      <c r="H186" s="279"/>
      <c r="I186" s="279"/>
      <c r="J186" s="193"/>
    </row>
    <row r="187" spans="1:10" ht="15.75">
      <c r="A187" s="238"/>
      <c r="B187" s="193"/>
      <c r="C187" s="238"/>
      <c r="D187" s="238"/>
      <c r="E187" s="238"/>
      <c r="F187" s="238"/>
      <c r="G187" s="193"/>
      <c r="H187" s="279"/>
      <c r="I187" s="279"/>
      <c r="J187" s="193"/>
    </row>
    <row r="188" spans="1:10" ht="15.75">
      <c r="A188" s="535" t="s">
        <v>547</v>
      </c>
      <c r="B188" s="567" t="s">
        <v>568</v>
      </c>
      <c r="C188" s="567" t="s">
        <v>658</v>
      </c>
      <c r="D188" s="567" t="s">
        <v>659</v>
      </c>
      <c r="E188" s="568" t="s">
        <v>581</v>
      </c>
      <c r="F188" s="569"/>
      <c r="G188" s="570"/>
      <c r="H188" s="258"/>
      <c r="I188" s="279"/>
      <c r="J188" s="193"/>
    </row>
    <row r="189" spans="1:10" ht="47.25">
      <c r="A189" s="536"/>
      <c r="B189" s="567"/>
      <c r="C189" s="567"/>
      <c r="D189" s="567"/>
      <c r="E189" s="271" t="s">
        <v>660</v>
      </c>
      <c r="F189" s="272" t="s">
        <v>559</v>
      </c>
      <c r="G189" s="237" t="s">
        <v>565</v>
      </c>
      <c r="H189" s="273"/>
      <c r="I189" s="279"/>
      <c r="J189" s="193"/>
    </row>
    <row r="190" spans="1:10" ht="15.75">
      <c r="A190" s="282">
        <v>1</v>
      </c>
      <c r="B190" s="283">
        <v>2</v>
      </c>
      <c r="C190" s="283">
        <v>3</v>
      </c>
      <c r="D190" s="283">
        <v>4</v>
      </c>
      <c r="E190" s="275">
        <v>5</v>
      </c>
      <c r="F190" s="231">
        <v>5</v>
      </c>
      <c r="G190" s="230">
        <v>6</v>
      </c>
      <c r="H190" s="232"/>
      <c r="I190" s="279"/>
      <c r="J190" s="193"/>
    </row>
    <row r="191" spans="1:10" ht="15.75">
      <c r="A191" s="282">
        <v>1</v>
      </c>
      <c r="B191" s="304" t="s">
        <v>661</v>
      </c>
      <c r="C191" s="283" t="s">
        <v>662</v>
      </c>
      <c r="D191" s="305">
        <v>24</v>
      </c>
      <c r="E191" s="306">
        <f>SUM(F191:G191)</f>
        <v>35098.29</v>
      </c>
      <c r="F191" s="306">
        <v>0</v>
      </c>
      <c r="G191" s="306">
        <v>35098.29</v>
      </c>
      <c r="H191" s="232"/>
      <c r="I191" s="279"/>
      <c r="J191" s="193"/>
    </row>
    <row r="192" spans="1:10" ht="15.75">
      <c r="A192" s="282">
        <v>2</v>
      </c>
      <c r="B192" s="304" t="s">
        <v>663</v>
      </c>
      <c r="C192" s="283" t="s">
        <v>662</v>
      </c>
      <c r="D192" s="305">
        <v>3117.73</v>
      </c>
      <c r="E192" s="306">
        <f aca="true" t="shared" si="0" ref="E192:E202">SUM(F192:G192)</f>
        <v>33342.32</v>
      </c>
      <c r="F192" s="306">
        <v>0</v>
      </c>
      <c r="G192" s="306">
        <v>33342.32</v>
      </c>
      <c r="H192" s="232"/>
      <c r="I192" s="279"/>
      <c r="J192" s="193"/>
    </row>
    <row r="193" spans="1:10" ht="31.5">
      <c r="A193" s="282">
        <v>3</v>
      </c>
      <c r="B193" s="304" t="s">
        <v>664</v>
      </c>
      <c r="C193" s="283" t="s">
        <v>662</v>
      </c>
      <c r="D193" s="305">
        <v>12</v>
      </c>
      <c r="E193" s="306">
        <f t="shared" si="0"/>
        <v>99600</v>
      </c>
      <c r="F193" s="306">
        <v>0</v>
      </c>
      <c r="G193" s="306">
        <v>99600</v>
      </c>
      <c r="H193" s="232"/>
      <c r="I193" s="279"/>
      <c r="J193" s="193"/>
    </row>
    <row r="194" spans="1:10" ht="31.5">
      <c r="A194" s="282">
        <v>4</v>
      </c>
      <c r="B194" s="304" t="s">
        <v>664</v>
      </c>
      <c r="C194" s="283" t="s">
        <v>662</v>
      </c>
      <c r="D194" s="305">
        <v>12</v>
      </c>
      <c r="E194" s="306">
        <f t="shared" si="0"/>
        <v>34800</v>
      </c>
      <c r="F194" s="306">
        <v>0</v>
      </c>
      <c r="G194" s="306">
        <v>34800</v>
      </c>
      <c r="H194" s="232"/>
      <c r="I194" s="279"/>
      <c r="J194" s="193"/>
    </row>
    <row r="195" spans="1:10" ht="15.75">
      <c r="A195" s="282">
        <v>5</v>
      </c>
      <c r="B195" s="304" t="s">
        <v>665</v>
      </c>
      <c r="C195" s="283" t="s">
        <v>662</v>
      </c>
      <c r="D195" s="305">
        <v>12</v>
      </c>
      <c r="E195" s="306">
        <f t="shared" si="0"/>
        <v>653000</v>
      </c>
      <c r="F195" s="306">
        <v>0</v>
      </c>
      <c r="G195" s="306">
        <f>363000+290000</f>
        <v>653000</v>
      </c>
      <c r="H195" s="232"/>
      <c r="I195" s="279"/>
      <c r="J195" s="193"/>
    </row>
    <row r="196" spans="1:10" ht="31.5">
      <c r="A196" s="282">
        <v>6</v>
      </c>
      <c r="B196" s="304" t="s">
        <v>666</v>
      </c>
      <c r="C196" s="283" t="s">
        <v>662</v>
      </c>
      <c r="D196" s="305">
        <v>12</v>
      </c>
      <c r="E196" s="306">
        <f t="shared" si="0"/>
        <v>341148.86</v>
      </c>
      <c r="F196" s="306">
        <f>134297.86-1352</f>
        <v>132945.86</v>
      </c>
      <c r="G196" s="306">
        <v>208203</v>
      </c>
      <c r="H196" s="232"/>
      <c r="I196" s="279"/>
      <c r="J196" s="193"/>
    </row>
    <row r="197" spans="1:10" ht="15.75">
      <c r="A197" s="282">
        <v>7</v>
      </c>
      <c r="B197" s="304" t="s">
        <v>667</v>
      </c>
      <c r="C197" s="283" t="s">
        <v>662</v>
      </c>
      <c r="D197" s="305">
        <v>1</v>
      </c>
      <c r="E197" s="306">
        <f t="shared" si="0"/>
        <v>11000</v>
      </c>
      <c r="F197" s="306">
        <v>0</v>
      </c>
      <c r="G197" s="306">
        <v>11000</v>
      </c>
      <c r="H197" s="232"/>
      <c r="I197" s="279"/>
      <c r="J197" s="193"/>
    </row>
    <row r="198" spans="1:10" ht="15.75">
      <c r="A198" s="282">
        <v>8</v>
      </c>
      <c r="B198" s="304" t="s">
        <v>668</v>
      </c>
      <c r="C198" s="283" t="s">
        <v>662</v>
      </c>
      <c r="D198" s="305">
        <v>1</v>
      </c>
      <c r="E198" s="306">
        <f t="shared" si="0"/>
        <v>31000</v>
      </c>
      <c r="F198" s="306">
        <v>0</v>
      </c>
      <c r="G198" s="306">
        <v>31000</v>
      </c>
      <c r="H198" s="232"/>
      <c r="I198" s="279"/>
      <c r="J198" s="193"/>
    </row>
    <row r="199" spans="1:10" ht="15.75">
      <c r="A199" s="282">
        <v>9</v>
      </c>
      <c r="B199" s="304" t="s">
        <v>669</v>
      </c>
      <c r="C199" s="283" t="s">
        <v>662</v>
      </c>
      <c r="D199" s="305">
        <v>12</v>
      </c>
      <c r="E199" s="306">
        <f t="shared" si="0"/>
        <v>18000</v>
      </c>
      <c r="F199" s="306">
        <v>0</v>
      </c>
      <c r="G199" s="306">
        <v>18000</v>
      </c>
      <c r="H199" s="232"/>
      <c r="I199" s="279"/>
      <c r="J199" s="193"/>
    </row>
    <row r="200" spans="1:10" ht="15.75">
      <c r="A200" s="282">
        <v>10</v>
      </c>
      <c r="B200" s="304" t="s">
        <v>670</v>
      </c>
      <c r="C200" s="283" t="s">
        <v>662</v>
      </c>
      <c r="D200" s="305">
        <v>1</v>
      </c>
      <c r="E200" s="306">
        <f t="shared" si="0"/>
        <v>60000</v>
      </c>
      <c r="F200" s="306">
        <v>0</v>
      </c>
      <c r="G200" s="306">
        <v>60000</v>
      </c>
      <c r="H200" s="232"/>
      <c r="I200" s="279"/>
      <c r="J200" s="193"/>
    </row>
    <row r="201" spans="1:10" ht="31.5">
      <c r="A201" s="282">
        <v>11</v>
      </c>
      <c r="B201" s="304" t="s">
        <v>671</v>
      </c>
      <c r="C201" s="283" t="s">
        <v>662</v>
      </c>
      <c r="D201" s="305">
        <v>6</v>
      </c>
      <c r="E201" s="306">
        <f t="shared" si="0"/>
        <v>583838.66</v>
      </c>
      <c r="F201" s="306">
        <v>0</v>
      </c>
      <c r="G201" s="306">
        <f>866282.74-7296.84-2948.67+153338.31-62576.47-62960.41-300000</f>
        <v>583838.66</v>
      </c>
      <c r="H201" s="232"/>
      <c r="I201" s="279"/>
      <c r="J201" s="193"/>
    </row>
    <row r="202" spans="1:10" ht="31.5">
      <c r="A202" s="282">
        <v>12</v>
      </c>
      <c r="B202" s="304" t="s">
        <v>672</v>
      </c>
      <c r="C202" s="283" t="s">
        <v>662</v>
      </c>
      <c r="D202" s="305">
        <v>4</v>
      </c>
      <c r="E202" s="306">
        <f t="shared" si="0"/>
        <v>70000</v>
      </c>
      <c r="F202" s="306">
        <v>0</v>
      </c>
      <c r="G202" s="306">
        <v>70000</v>
      </c>
      <c r="H202" s="232"/>
      <c r="I202" s="279"/>
      <c r="J202" s="193"/>
    </row>
    <row r="203" spans="1:10" ht="18.75">
      <c r="A203" s="576" t="s">
        <v>563</v>
      </c>
      <c r="B203" s="577"/>
      <c r="C203" s="307" t="s">
        <v>564</v>
      </c>
      <c r="D203" s="307" t="s">
        <v>564</v>
      </c>
      <c r="E203" s="308">
        <f>SUM(E191:E202)</f>
        <v>1970828.13</v>
      </c>
      <c r="F203" s="309">
        <f>SUM(F191:F202)</f>
        <v>132945.86</v>
      </c>
      <c r="G203" s="308">
        <f>SUM(G191:G202)</f>
        <v>1837882.27</v>
      </c>
      <c r="H203" s="232"/>
      <c r="I203" s="279"/>
      <c r="J203" s="193"/>
    </row>
    <row r="204" spans="1:10" ht="18.75">
      <c r="A204" s="404"/>
      <c r="B204" s="405"/>
      <c r="C204" s="406"/>
      <c r="D204" s="406"/>
      <c r="E204" s="308"/>
      <c r="F204" s="309"/>
      <c r="G204" s="308"/>
      <c r="H204" s="232"/>
      <c r="I204" s="279"/>
      <c r="J204" s="193"/>
    </row>
    <row r="205" spans="1:10" ht="31.5">
      <c r="A205" s="282">
        <v>11</v>
      </c>
      <c r="B205" s="304" t="s">
        <v>752</v>
      </c>
      <c r="C205" s="283" t="s">
        <v>662</v>
      </c>
      <c r="D205" s="305">
        <v>6</v>
      </c>
      <c r="E205" s="306">
        <f>SUM(F205:G205)</f>
        <v>962846.06</v>
      </c>
      <c r="F205" s="306">
        <v>0</v>
      </c>
      <c r="G205" s="306">
        <f>300000+662846.06</f>
        <v>962846.06</v>
      </c>
      <c r="H205" s="232"/>
      <c r="I205" s="279"/>
      <c r="J205" s="193"/>
    </row>
    <row r="206" spans="1:10" ht="18.75">
      <c r="A206" s="576" t="s">
        <v>563</v>
      </c>
      <c r="B206" s="577"/>
      <c r="C206" s="307" t="s">
        <v>564</v>
      </c>
      <c r="D206" s="307" t="s">
        <v>564</v>
      </c>
      <c r="E206" s="308">
        <f>SUM(E205)</f>
        <v>962846.06</v>
      </c>
      <c r="F206" s="309">
        <f>SUM(F205)</f>
        <v>0</v>
      </c>
      <c r="G206" s="308">
        <f>SUM(G205)</f>
        <v>962846.06</v>
      </c>
      <c r="H206" s="232"/>
      <c r="I206" s="279"/>
      <c r="J206" s="193"/>
    </row>
    <row r="207" spans="1:11" ht="53.25" customHeight="1">
      <c r="A207" s="564" t="s">
        <v>673</v>
      </c>
      <c r="B207" s="564"/>
      <c r="C207" s="564"/>
      <c r="D207" s="564"/>
      <c r="E207" s="564"/>
      <c r="F207" s="564"/>
      <c r="G207" s="564"/>
      <c r="H207" s="564"/>
      <c r="I207" s="564"/>
      <c r="J207" s="564"/>
      <c r="K207" s="564"/>
    </row>
    <row r="208" spans="1:10" ht="15.75">
      <c r="A208" s="238"/>
      <c r="B208" s="193"/>
      <c r="C208" s="238"/>
      <c r="D208" s="238"/>
      <c r="E208" s="238"/>
      <c r="F208" s="238"/>
      <c r="G208" s="193"/>
      <c r="H208" s="279"/>
      <c r="I208" s="279"/>
      <c r="J208" s="193"/>
    </row>
    <row r="209" spans="1:10" ht="15.75">
      <c r="A209" s="284"/>
      <c r="B209" s="284" t="s">
        <v>674</v>
      </c>
      <c r="C209" s="284"/>
      <c r="D209" s="284"/>
      <c r="E209" s="284"/>
      <c r="F209" s="238"/>
      <c r="G209" s="193"/>
      <c r="H209" s="279"/>
      <c r="I209" s="279"/>
      <c r="J209" s="193"/>
    </row>
    <row r="210" spans="1:10" ht="15.75">
      <c r="A210" s="238"/>
      <c r="B210" s="193"/>
      <c r="C210" s="238"/>
      <c r="D210" s="238"/>
      <c r="E210" s="238"/>
      <c r="F210" s="238"/>
      <c r="G210" s="193"/>
      <c r="H210" s="279"/>
      <c r="I210" s="279"/>
      <c r="J210" s="193"/>
    </row>
    <row r="211" spans="1:10" ht="15.75">
      <c r="A211" s="535" t="s">
        <v>547</v>
      </c>
      <c r="B211" s="567" t="s">
        <v>1</v>
      </c>
      <c r="C211" s="567" t="s">
        <v>675</v>
      </c>
      <c r="D211" s="568" t="s">
        <v>581</v>
      </c>
      <c r="E211" s="569"/>
      <c r="F211" s="570"/>
      <c r="G211" s="258"/>
      <c r="H211" s="279"/>
      <c r="I211" s="279"/>
      <c r="J211" s="193"/>
    </row>
    <row r="212" spans="1:10" ht="31.5">
      <c r="A212" s="536"/>
      <c r="B212" s="567"/>
      <c r="C212" s="567"/>
      <c r="D212" s="271" t="s">
        <v>676</v>
      </c>
      <c r="E212" s="237" t="s">
        <v>559</v>
      </c>
      <c r="F212" s="237" t="s">
        <v>565</v>
      </c>
      <c r="G212" s="273"/>
      <c r="H212" s="279"/>
      <c r="I212" s="279"/>
      <c r="J212" s="193"/>
    </row>
    <row r="213" spans="1:10" ht="15.75">
      <c r="A213" s="282">
        <v>1</v>
      </c>
      <c r="B213" s="283">
        <v>2</v>
      </c>
      <c r="C213" s="283">
        <v>3</v>
      </c>
      <c r="D213" s="275">
        <v>5</v>
      </c>
      <c r="E213" s="230">
        <v>5</v>
      </c>
      <c r="F213" s="230">
        <v>6</v>
      </c>
      <c r="G213" s="232"/>
      <c r="H213" s="279"/>
      <c r="I213" s="279"/>
      <c r="J213" s="193"/>
    </row>
    <row r="214" spans="1:10" ht="63">
      <c r="A214" s="282">
        <v>1</v>
      </c>
      <c r="B214" s="297" t="s">
        <v>677</v>
      </c>
      <c r="C214" s="297">
        <v>5</v>
      </c>
      <c r="D214" s="291">
        <f>SUM(E214:F214)</f>
        <v>130583.95999999999</v>
      </c>
      <c r="E214" s="310">
        <v>71269</v>
      </c>
      <c r="F214" s="310">
        <f>160583.06-101268.1</f>
        <v>59314.95999999999</v>
      </c>
      <c r="G214" s="232"/>
      <c r="H214" s="279"/>
      <c r="I214" s="279"/>
      <c r="J214" s="193"/>
    </row>
    <row r="215" spans="1:10" ht="47.25">
      <c r="A215" s="282">
        <v>2</v>
      </c>
      <c r="B215" s="297" t="s">
        <v>678</v>
      </c>
      <c r="C215" s="297">
        <v>5</v>
      </c>
      <c r="D215" s="291">
        <f>SUM(E215:F215)</f>
        <v>56872.94</v>
      </c>
      <c r="E215" s="291">
        <v>30000</v>
      </c>
      <c r="F215" s="291">
        <v>26872.94</v>
      </c>
      <c r="G215" s="232"/>
      <c r="H215" s="279"/>
      <c r="I215" s="279"/>
      <c r="J215" s="193"/>
    </row>
    <row r="216" spans="1:10" ht="15.75">
      <c r="A216" s="282">
        <v>3</v>
      </c>
      <c r="B216" s="297" t="s">
        <v>679</v>
      </c>
      <c r="C216" s="297">
        <v>2</v>
      </c>
      <c r="D216" s="291">
        <f>SUM(E216:F216)</f>
        <v>40000</v>
      </c>
      <c r="E216" s="291">
        <v>0</v>
      </c>
      <c r="F216" s="291">
        <v>40000</v>
      </c>
      <c r="G216" s="232"/>
      <c r="H216" s="279"/>
      <c r="I216" s="279"/>
      <c r="J216" s="193"/>
    </row>
    <row r="217" spans="1:10" ht="15.75">
      <c r="A217" s="282">
        <v>4</v>
      </c>
      <c r="B217" s="297" t="s">
        <v>680</v>
      </c>
      <c r="C217" s="297">
        <v>1</v>
      </c>
      <c r="D217" s="291">
        <f>SUM(E217:F217)</f>
        <v>78000</v>
      </c>
      <c r="E217" s="291">
        <v>0</v>
      </c>
      <c r="F217" s="291">
        <v>78000</v>
      </c>
      <c r="G217" s="232"/>
      <c r="H217" s="279"/>
      <c r="I217" s="279"/>
      <c r="J217" s="193"/>
    </row>
    <row r="218" spans="1:10" ht="15.75">
      <c r="A218" s="561" t="s">
        <v>563</v>
      </c>
      <c r="B218" s="563"/>
      <c r="C218" s="203" t="s">
        <v>564</v>
      </c>
      <c r="D218" s="294">
        <f>SUM(D214:D217)</f>
        <v>305456.9</v>
      </c>
      <c r="E218" s="294">
        <f>SUM(E214:E217)</f>
        <v>101269</v>
      </c>
      <c r="F218" s="294">
        <f>SUM(F214:F217)</f>
        <v>204187.9</v>
      </c>
      <c r="G218" s="277"/>
      <c r="H218" s="279"/>
      <c r="I218" s="279"/>
      <c r="J218" s="193"/>
    </row>
    <row r="219" spans="1:10" ht="15.75">
      <c r="A219" s="238"/>
      <c r="B219" s="193"/>
      <c r="C219" s="238"/>
      <c r="D219" s="238"/>
      <c r="E219" s="238"/>
      <c r="F219" s="238"/>
      <c r="G219" s="193"/>
      <c r="H219" s="279"/>
      <c r="I219" s="279"/>
      <c r="J219" s="193"/>
    </row>
    <row r="220" spans="1:11" ht="149.25" customHeight="1">
      <c r="A220" s="564" t="s">
        <v>681</v>
      </c>
      <c r="B220" s="564"/>
      <c r="C220" s="564"/>
      <c r="D220" s="564"/>
      <c r="E220" s="564"/>
      <c r="F220" s="564"/>
      <c r="G220" s="564"/>
      <c r="H220" s="564"/>
      <c r="I220" s="564"/>
      <c r="J220" s="564"/>
      <c r="K220" s="564"/>
    </row>
    <row r="221" spans="1:10" ht="15.75">
      <c r="A221" s="238"/>
      <c r="B221" s="193"/>
      <c r="C221" s="238"/>
      <c r="D221" s="238"/>
      <c r="E221" s="238"/>
      <c r="F221" s="238"/>
      <c r="G221" s="193"/>
      <c r="H221" s="279"/>
      <c r="I221" s="279"/>
      <c r="J221" s="193"/>
    </row>
    <row r="222" spans="1:4" ht="15.75">
      <c r="A222" s="195"/>
      <c r="B222" s="195" t="s">
        <v>682</v>
      </c>
      <c r="C222" s="195"/>
      <c r="D222" s="195"/>
    </row>
    <row r="223" ht="15.75">
      <c r="B223" s="187"/>
    </row>
    <row r="224" spans="1:10" ht="25.5" customHeight="1">
      <c r="A224" s="535" t="s">
        <v>547</v>
      </c>
      <c r="B224" s="535" t="s">
        <v>568</v>
      </c>
      <c r="C224" s="579"/>
      <c r="D224" s="523" t="s">
        <v>653</v>
      </c>
      <c r="E224" s="525" t="s">
        <v>683</v>
      </c>
      <c r="F224" s="533" t="s">
        <v>581</v>
      </c>
      <c r="G224" s="533"/>
      <c r="H224" s="533"/>
      <c r="I224" s="311"/>
      <c r="J224" s="227"/>
    </row>
    <row r="225" spans="1:10" ht="54.75" customHeight="1">
      <c r="A225" s="536"/>
      <c r="B225" s="536"/>
      <c r="C225" s="580"/>
      <c r="D225" s="524"/>
      <c r="E225" s="526"/>
      <c r="F225" s="228" t="s">
        <v>684</v>
      </c>
      <c r="G225" s="228" t="s">
        <v>559</v>
      </c>
      <c r="H225" s="228" t="s">
        <v>565</v>
      </c>
      <c r="I225" s="193"/>
      <c r="J225" s="229"/>
    </row>
    <row r="226" spans="1:10" ht="15.75" customHeight="1">
      <c r="A226" s="233">
        <v>1</v>
      </c>
      <c r="B226" s="581">
        <v>2</v>
      </c>
      <c r="C226" s="582"/>
      <c r="D226" s="233">
        <v>3</v>
      </c>
      <c r="E226" s="233">
        <v>4</v>
      </c>
      <c r="F226" s="233">
        <v>5</v>
      </c>
      <c r="G226" s="233">
        <v>6</v>
      </c>
      <c r="H226" s="233">
        <v>7</v>
      </c>
      <c r="I226" s="279"/>
      <c r="J226" s="279"/>
    </row>
    <row r="227" spans="1:10" ht="15.75">
      <c r="A227" s="207">
        <v>1</v>
      </c>
      <c r="B227" s="583" t="s">
        <v>685</v>
      </c>
      <c r="C227" s="584"/>
      <c r="D227" s="305">
        <v>1782</v>
      </c>
      <c r="E227" s="306">
        <v>250</v>
      </c>
      <c r="F227" s="306">
        <f>SUM(G227:H227)</f>
        <v>417999.89999999997</v>
      </c>
      <c r="G227" s="306">
        <f>450000-50210.39</f>
        <v>399789.61</v>
      </c>
      <c r="H227" s="313">
        <v>18210.29</v>
      </c>
      <c r="I227" s="279"/>
      <c r="J227" s="193"/>
    </row>
    <row r="228" spans="1:10" ht="15.75">
      <c r="A228" s="207">
        <v>2</v>
      </c>
      <c r="B228" s="583" t="s">
        <v>686</v>
      </c>
      <c r="C228" s="584"/>
      <c r="D228" s="305">
        <v>25</v>
      </c>
      <c r="E228" s="306">
        <v>16460</v>
      </c>
      <c r="F228" s="306">
        <f>SUM(G228:H228)</f>
        <v>120000</v>
      </c>
      <c r="G228" s="306">
        <v>0</v>
      </c>
      <c r="H228" s="313">
        <v>120000</v>
      </c>
      <c r="I228" s="279"/>
      <c r="J228" s="193"/>
    </row>
    <row r="229" spans="1:10" ht="15.75">
      <c r="A229" s="207">
        <v>3</v>
      </c>
      <c r="B229" s="583" t="s">
        <v>687</v>
      </c>
      <c r="C229" s="584"/>
      <c r="D229" s="305">
        <v>135</v>
      </c>
      <c r="E229" s="306">
        <v>1277</v>
      </c>
      <c r="F229" s="306">
        <f>SUM(G229:H229)</f>
        <v>175000</v>
      </c>
      <c r="G229" s="306">
        <v>0</v>
      </c>
      <c r="H229" s="313">
        <v>175000</v>
      </c>
      <c r="I229" s="279"/>
      <c r="J229" s="193"/>
    </row>
    <row r="230" spans="1:10" ht="15.75">
      <c r="A230" s="530" t="s">
        <v>573</v>
      </c>
      <c r="B230" s="585"/>
      <c r="C230" s="531"/>
      <c r="D230" s="201"/>
      <c r="E230" s="201" t="s">
        <v>564</v>
      </c>
      <c r="F230" s="294">
        <f>SUM(F227:F229)</f>
        <v>712999.8999999999</v>
      </c>
      <c r="G230" s="314">
        <f>SUM(G227:G229)</f>
        <v>399789.61</v>
      </c>
      <c r="H230" s="314">
        <f>SUM(H227:H229)</f>
        <v>313210.29000000004</v>
      </c>
      <c r="I230" s="193"/>
      <c r="J230" s="193"/>
    </row>
    <row r="231" ht="15.75">
      <c r="B231" s="187"/>
    </row>
    <row r="232" spans="1:4" ht="15.75">
      <c r="A232" s="195"/>
      <c r="B232" s="195" t="s">
        <v>688</v>
      </c>
      <c r="C232" s="195"/>
      <c r="D232" s="195"/>
    </row>
    <row r="233" ht="15.75">
      <c r="B233" s="187"/>
    </row>
    <row r="234" spans="1:10" ht="25.5" customHeight="1">
      <c r="A234" s="535" t="s">
        <v>547</v>
      </c>
      <c r="B234" s="535" t="s">
        <v>568</v>
      </c>
      <c r="C234" s="579"/>
      <c r="D234" s="523" t="s">
        <v>653</v>
      </c>
      <c r="E234" s="525" t="s">
        <v>683</v>
      </c>
      <c r="F234" s="533" t="s">
        <v>581</v>
      </c>
      <c r="G234" s="533"/>
      <c r="H234" s="533"/>
      <c r="I234" s="311"/>
      <c r="J234" s="227"/>
    </row>
    <row r="235" spans="1:10" ht="54.75" customHeight="1">
      <c r="A235" s="536"/>
      <c r="B235" s="536"/>
      <c r="C235" s="580"/>
      <c r="D235" s="524"/>
      <c r="E235" s="526"/>
      <c r="F235" s="228" t="s">
        <v>684</v>
      </c>
      <c r="G235" s="228" t="s">
        <v>559</v>
      </c>
      <c r="H235" s="228" t="s">
        <v>565</v>
      </c>
      <c r="I235" s="193"/>
      <c r="J235" s="229"/>
    </row>
    <row r="236" spans="1:10" ht="15.75" customHeight="1">
      <c r="A236" s="233">
        <v>1</v>
      </c>
      <c r="B236" s="581">
        <v>2</v>
      </c>
      <c r="C236" s="582"/>
      <c r="D236" s="233">
        <v>3</v>
      </c>
      <c r="E236" s="233">
        <v>4</v>
      </c>
      <c r="F236" s="233">
        <v>5</v>
      </c>
      <c r="G236" s="233">
        <v>6</v>
      </c>
      <c r="H236" s="233">
        <v>7</v>
      </c>
      <c r="I236" s="279"/>
      <c r="J236" s="279"/>
    </row>
    <row r="237" spans="1:10" ht="15" customHeight="1">
      <c r="A237" s="201">
        <v>1</v>
      </c>
      <c r="B237" s="586" t="s">
        <v>689</v>
      </c>
      <c r="C237" s="587"/>
      <c r="D237" s="315">
        <v>173</v>
      </c>
      <c r="E237" s="316">
        <v>453.02448</v>
      </c>
      <c r="F237" s="291">
        <f>SUM(G237:H237)</f>
        <v>4943.1</v>
      </c>
      <c r="G237" s="291">
        <v>0</v>
      </c>
      <c r="H237" s="291">
        <v>4943.1</v>
      </c>
      <c r="I237" s="279"/>
      <c r="J237" s="279"/>
    </row>
    <row r="238" spans="1:10" ht="15" customHeight="1">
      <c r="A238" s="201">
        <v>2</v>
      </c>
      <c r="B238" s="586" t="s">
        <v>690</v>
      </c>
      <c r="C238" s="587"/>
      <c r="D238" s="315">
        <v>500</v>
      </c>
      <c r="E238" s="315">
        <v>500</v>
      </c>
      <c r="F238" s="291">
        <f>SUM(G238:H238)</f>
        <v>0</v>
      </c>
      <c r="G238" s="291">
        <v>0</v>
      </c>
      <c r="H238" s="291">
        <v>0</v>
      </c>
      <c r="I238" s="279"/>
      <c r="J238" s="279"/>
    </row>
    <row r="239" spans="1:10" ht="15" customHeight="1">
      <c r="A239" s="201">
        <v>3</v>
      </c>
      <c r="B239" s="586" t="s">
        <v>691</v>
      </c>
      <c r="C239" s="587"/>
      <c r="D239" s="315">
        <v>500</v>
      </c>
      <c r="E239" s="315">
        <v>500</v>
      </c>
      <c r="F239" s="291">
        <f>SUM(G239:H239)</f>
        <v>0</v>
      </c>
      <c r="G239" s="291">
        <v>0</v>
      </c>
      <c r="H239" s="291">
        <v>0</v>
      </c>
      <c r="I239" s="279"/>
      <c r="J239" s="279"/>
    </row>
    <row r="240" spans="1:10" ht="15.75" customHeight="1">
      <c r="A240" s="201">
        <v>4</v>
      </c>
      <c r="B240" s="586" t="s">
        <v>692</v>
      </c>
      <c r="C240" s="587"/>
      <c r="D240" s="315">
        <v>400</v>
      </c>
      <c r="E240" s="315">
        <v>200</v>
      </c>
      <c r="F240" s="291">
        <f>SUM(G240:H240)</f>
        <v>80000</v>
      </c>
      <c r="G240" s="291">
        <v>0</v>
      </c>
      <c r="H240" s="291">
        <f>80000</f>
        <v>80000</v>
      </c>
      <c r="I240" s="279"/>
      <c r="J240" s="279"/>
    </row>
    <row r="241" spans="1:10" ht="15.75">
      <c r="A241" s="201">
        <v>5</v>
      </c>
      <c r="B241" s="588" t="s">
        <v>693</v>
      </c>
      <c r="C241" s="588"/>
      <c r="D241" s="315">
        <v>250</v>
      </c>
      <c r="E241" s="315">
        <v>200</v>
      </c>
      <c r="F241" s="291">
        <f>SUM(G241:H241)</f>
        <v>40000</v>
      </c>
      <c r="G241" s="291">
        <v>0</v>
      </c>
      <c r="H241" s="291">
        <v>40000</v>
      </c>
      <c r="I241" s="279"/>
      <c r="J241" s="193"/>
    </row>
    <row r="242" spans="1:10" ht="15.75">
      <c r="A242" s="207"/>
      <c r="B242" s="568"/>
      <c r="C242" s="570"/>
      <c r="D242" s="207"/>
      <c r="E242" s="207"/>
      <c r="F242" s="207"/>
      <c r="G242" s="207"/>
      <c r="H242" s="233"/>
      <c r="I242" s="279"/>
      <c r="J242" s="193"/>
    </row>
    <row r="243" spans="1:10" s="195" customFormat="1" ht="15.75">
      <c r="A243" s="589" t="s">
        <v>573</v>
      </c>
      <c r="B243" s="590"/>
      <c r="C243" s="591"/>
      <c r="D243" s="317"/>
      <c r="E243" s="317" t="s">
        <v>564</v>
      </c>
      <c r="F243" s="294">
        <f>SUM(F237:F242)</f>
        <v>124943.1</v>
      </c>
      <c r="G243" s="314">
        <f>SUM(G237:G242)</f>
        <v>0</v>
      </c>
      <c r="H243" s="314">
        <f>SUM(H237:H242)</f>
        <v>124943.1</v>
      </c>
      <c r="I243" s="224"/>
      <c r="J243" s="224"/>
    </row>
    <row r="244" spans="1:11" ht="163.5" customHeight="1">
      <c r="A244" s="554" t="s">
        <v>694</v>
      </c>
      <c r="B244" s="554"/>
      <c r="C244" s="554"/>
      <c r="D244" s="554"/>
      <c r="E244" s="554"/>
      <c r="F244" s="554"/>
      <c r="G244" s="554"/>
      <c r="H244" s="554"/>
      <c r="I244" s="554"/>
      <c r="J244" s="554"/>
      <c r="K244" s="554"/>
    </row>
    <row r="245" ht="15.75">
      <c r="B245" s="187"/>
    </row>
    <row r="246" spans="1:4" ht="15.75">
      <c r="A246" s="195"/>
      <c r="B246" s="195" t="s">
        <v>695</v>
      </c>
      <c r="C246" s="195"/>
      <c r="D246" s="195"/>
    </row>
    <row r="247" ht="15.75">
      <c r="B247" s="187"/>
    </row>
    <row r="248" spans="1:10" ht="25.5" customHeight="1">
      <c r="A248" s="535" t="s">
        <v>547</v>
      </c>
      <c r="B248" s="535" t="s">
        <v>568</v>
      </c>
      <c r="C248" s="579"/>
      <c r="D248" s="523" t="s">
        <v>653</v>
      </c>
      <c r="E248" s="525" t="s">
        <v>683</v>
      </c>
      <c r="F248" s="533" t="s">
        <v>581</v>
      </c>
      <c r="G248" s="533"/>
      <c r="H248" s="533"/>
      <c r="I248" s="311"/>
      <c r="J248" s="227"/>
    </row>
    <row r="249" spans="1:10" ht="54.75" customHeight="1">
      <c r="A249" s="536"/>
      <c r="B249" s="536"/>
      <c r="C249" s="580"/>
      <c r="D249" s="524"/>
      <c r="E249" s="526"/>
      <c r="F249" s="228" t="s">
        <v>684</v>
      </c>
      <c r="G249" s="228" t="s">
        <v>559</v>
      </c>
      <c r="H249" s="228" t="s">
        <v>565</v>
      </c>
      <c r="I249" s="193"/>
      <c r="J249" s="229"/>
    </row>
    <row r="250" spans="1:10" ht="15.75" customHeight="1">
      <c r="A250" s="233">
        <v>1</v>
      </c>
      <c r="B250" s="581">
        <v>2</v>
      </c>
      <c r="C250" s="582"/>
      <c r="D250" s="233">
        <v>3</v>
      </c>
      <c r="E250" s="233">
        <v>4</v>
      </c>
      <c r="F250" s="233">
        <v>5</v>
      </c>
      <c r="G250" s="233">
        <v>6</v>
      </c>
      <c r="H250" s="233">
        <v>7</v>
      </c>
      <c r="I250" s="279"/>
      <c r="J250" s="279"/>
    </row>
    <row r="251" spans="1:10" ht="15.75">
      <c r="A251" s="207"/>
      <c r="B251" s="568"/>
      <c r="C251" s="570"/>
      <c r="D251" s="207"/>
      <c r="E251" s="207"/>
      <c r="F251" s="207"/>
      <c r="G251" s="233"/>
      <c r="H251" s="233"/>
      <c r="I251" s="279"/>
      <c r="J251" s="193"/>
    </row>
    <row r="252" spans="1:10" ht="15.75">
      <c r="A252" s="207"/>
      <c r="B252" s="568"/>
      <c r="C252" s="570"/>
      <c r="D252" s="207"/>
      <c r="E252" s="207"/>
      <c r="F252" s="207"/>
      <c r="G252" s="207"/>
      <c r="H252" s="233"/>
      <c r="I252" s="279"/>
      <c r="J252" s="193"/>
    </row>
    <row r="253" spans="1:10" ht="15.75">
      <c r="A253" s="530" t="s">
        <v>573</v>
      </c>
      <c r="B253" s="585"/>
      <c r="C253" s="531"/>
      <c r="D253" s="201"/>
      <c r="E253" s="201" t="s">
        <v>564</v>
      </c>
      <c r="F253" s="201"/>
      <c r="G253" s="207"/>
      <c r="H253" s="207"/>
      <c r="I253" s="193"/>
      <c r="J253" s="193"/>
    </row>
    <row r="256" spans="1:7" s="320" customFormat="1" ht="18.75">
      <c r="A256" s="318" t="s">
        <v>696</v>
      </c>
      <c r="B256" s="318"/>
      <c r="C256" s="318"/>
      <c r="D256" s="319"/>
      <c r="E256" s="319"/>
      <c r="F256" s="319"/>
      <c r="G256" s="319"/>
    </row>
    <row r="257" spans="1:4" s="320" customFormat="1" ht="15.75">
      <c r="A257" s="321"/>
      <c r="B257" s="322"/>
      <c r="C257" s="322"/>
      <c r="D257" s="323"/>
    </row>
    <row r="258" spans="1:5" s="320" customFormat="1" ht="42" customHeight="1">
      <c r="A258" s="324" t="s">
        <v>547</v>
      </c>
      <c r="B258" s="596" t="s">
        <v>697</v>
      </c>
      <c r="C258" s="596"/>
      <c r="D258" s="325" t="s">
        <v>698</v>
      </c>
      <c r="E258" s="326"/>
    </row>
    <row r="259" spans="1:5" s="320" customFormat="1" ht="24.75" customHeight="1">
      <c r="A259" s="327">
        <v>1</v>
      </c>
      <c r="B259" s="597" t="s">
        <v>699</v>
      </c>
      <c r="C259" s="597"/>
      <c r="D259" s="328">
        <f>J23+G67+G148+G171+F203+E218+G230+H83</f>
        <v>24457757.380000003</v>
      </c>
      <c r="E259" s="326"/>
    </row>
    <row r="260" spans="1:5" s="320" customFormat="1" ht="24.75" customHeight="1">
      <c r="A260" s="327">
        <v>2</v>
      </c>
      <c r="B260" s="597" t="s">
        <v>565</v>
      </c>
      <c r="C260" s="597"/>
      <c r="D260" s="328">
        <f>H243+F218+G203+H171+H148+H101+H230+G206</f>
        <v>8261705.26</v>
      </c>
      <c r="E260" s="329"/>
    </row>
    <row r="261" spans="1:5" s="320" customFormat="1" ht="25.5" customHeight="1">
      <c r="A261" s="592" t="s">
        <v>700</v>
      </c>
      <c r="B261" s="593"/>
      <c r="C261" s="594"/>
      <c r="D261" s="330">
        <f>SUM(D259:D260)</f>
        <v>32719462.64</v>
      </c>
      <c r="E261" s="329"/>
    </row>
    <row r="264" spans="1:5" ht="15.75">
      <c r="A264" s="187" t="s">
        <v>701</v>
      </c>
      <c r="C264" s="187" t="s">
        <v>702</v>
      </c>
      <c r="E264" s="187" t="s">
        <v>703</v>
      </c>
    </row>
    <row r="266" spans="1:5" ht="15.75">
      <c r="A266" s="187" t="s">
        <v>13</v>
      </c>
      <c r="C266" s="187" t="s">
        <v>702</v>
      </c>
      <c r="E266" s="187" t="s">
        <v>704</v>
      </c>
    </row>
    <row r="267" spans="1:7" s="320" customFormat="1" ht="15.75">
      <c r="A267" s="331"/>
      <c r="B267" s="332"/>
      <c r="C267" s="332"/>
      <c r="D267" s="595"/>
      <c r="E267" s="595"/>
      <c r="F267" s="595"/>
      <c r="G267" s="595"/>
    </row>
  </sheetData>
  <sheetProtection/>
  <mergeCells count="179">
    <mergeCell ref="A261:C261"/>
    <mergeCell ref="D267:E267"/>
    <mergeCell ref="F267:G267"/>
    <mergeCell ref="B251:C251"/>
    <mergeCell ref="B252:C252"/>
    <mergeCell ref="A253:C253"/>
    <mergeCell ref="B258:C258"/>
    <mergeCell ref="B259:C259"/>
    <mergeCell ref="B260:C260"/>
    <mergeCell ref="A248:A249"/>
    <mergeCell ref="B248:C249"/>
    <mergeCell ref="D248:D249"/>
    <mergeCell ref="E248:E249"/>
    <mergeCell ref="F248:H248"/>
    <mergeCell ref="B250:C250"/>
    <mergeCell ref="B239:C239"/>
    <mergeCell ref="B240:C240"/>
    <mergeCell ref="B241:C241"/>
    <mergeCell ref="B242:C242"/>
    <mergeCell ref="A243:C243"/>
    <mergeCell ref="A244:K244"/>
    <mergeCell ref="D234:D235"/>
    <mergeCell ref="E234:E235"/>
    <mergeCell ref="F234:H234"/>
    <mergeCell ref="B236:C236"/>
    <mergeCell ref="B237:C237"/>
    <mergeCell ref="B238:C238"/>
    <mergeCell ref="B226:C226"/>
    <mergeCell ref="B227:C227"/>
    <mergeCell ref="B228:C228"/>
    <mergeCell ref="B229:C229"/>
    <mergeCell ref="A230:C230"/>
    <mergeCell ref="A234:A235"/>
    <mergeCell ref="B234:C235"/>
    <mergeCell ref="A218:B218"/>
    <mergeCell ref="A220:K220"/>
    <mergeCell ref="A224:A225"/>
    <mergeCell ref="B224:C225"/>
    <mergeCell ref="D224:D225"/>
    <mergeCell ref="E224:E225"/>
    <mergeCell ref="F224:H224"/>
    <mergeCell ref="A203:B203"/>
    <mergeCell ref="A207:K207"/>
    <mergeCell ref="A211:A212"/>
    <mergeCell ref="B211:B212"/>
    <mergeCell ref="C211:C212"/>
    <mergeCell ref="D211:F211"/>
    <mergeCell ref="A206:B206"/>
    <mergeCell ref="A182:B182"/>
    <mergeCell ref="A184:K184"/>
    <mergeCell ref="A188:A189"/>
    <mergeCell ref="B188:B189"/>
    <mergeCell ref="C188:C189"/>
    <mergeCell ref="D188:D189"/>
    <mergeCell ref="E188:G188"/>
    <mergeCell ref="A171:B171"/>
    <mergeCell ref="A173:K173"/>
    <mergeCell ref="A177:A178"/>
    <mergeCell ref="B177:B178"/>
    <mergeCell ref="C177:C178"/>
    <mergeCell ref="D177:D178"/>
    <mergeCell ref="E177:G177"/>
    <mergeCell ref="A159:B159"/>
    <mergeCell ref="A161:K161"/>
    <mergeCell ref="A165:A166"/>
    <mergeCell ref="B165:B166"/>
    <mergeCell ref="C165:C166"/>
    <mergeCell ref="D165:D166"/>
    <mergeCell ref="E165:E166"/>
    <mergeCell ref="F165:H165"/>
    <mergeCell ref="A148:B148"/>
    <mergeCell ref="A150:K150"/>
    <mergeCell ref="A154:A155"/>
    <mergeCell ref="B154:B155"/>
    <mergeCell ref="C154:C155"/>
    <mergeCell ref="D154:D155"/>
    <mergeCell ref="E154:G154"/>
    <mergeCell ref="A131:B131"/>
    <mergeCell ref="A133:K133"/>
    <mergeCell ref="A135:K135"/>
    <mergeCell ref="A143:A144"/>
    <mergeCell ref="B143:B144"/>
    <mergeCell ref="C143:C144"/>
    <mergeCell ref="D143:D144"/>
    <mergeCell ref="E143:E144"/>
    <mergeCell ref="F143:H143"/>
    <mergeCell ref="A116:B116"/>
    <mergeCell ref="A118:K118"/>
    <mergeCell ref="A120:K120"/>
    <mergeCell ref="A126:A127"/>
    <mergeCell ref="B126:B127"/>
    <mergeCell ref="C126:C127"/>
    <mergeCell ref="D126:D127"/>
    <mergeCell ref="E126:G126"/>
    <mergeCell ref="A101:C101"/>
    <mergeCell ref="A103:K103"/>
    <mergeCell ref="A105:K105"/>
    <mergeCell ref="A106:E106"/>
    <mergeCell ref="A111:A112"/>
    <mergeCell ref="B111:B112"/>
    <mergeCell ref="C111:C112"/>
    <mergeCell ref="D111:D112"/>
    <mergeCell ref="E111:G111"/>
    <mergeCell ref="B95:C95"/>
    <mergeCell ref="B96:C96"/>
    <mergeCell ref="B97:C97"/>
    <mergeCell ref="B98:C98"/>
    <mergeCell ref="B99:C99"/>
    <mergeCell ref="B100:C100"/>
    <mergeCell ref="A87:K87"/>
    <mergeCell ref="A93:A94"/>
    <mergeCell ref="B93:C94"/>
    <mergeCell ref="D93:D94"/>
    <mergeCell ref="E93:E94"/>
    <mergeCell ref="F93:H93"/>
    <mergeCell ref="B79:D79"/>
    <mergeCell ref="B80:D80"/>
    <mergeCell ref="B81:D81"/>
    <mergeCell ref="B82:D82"/>
    <mergeCell ref="A83:D83"/>
    <mergeCell ref="A85:K85"/>
    <mergeCell ref="A67:D67"/>
    <mergeCell ref="A69:K69"/>
    <mergeCell ref="B70:F70"/>
    <mergeCell ref="A71:K71"/>
    <mergeCell ref="A77:A78"/>
    <mergeCell ref="B77:D78"/>
    <mergeCell ref="E77:E78"/>
    <mergeCell ref="F77:F78"/>
    <mergeCell ref="G77:I77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A49:B49"/>
    <mergeCell ref="B51:I51"/>
    <mergeCell ref="A53:A54"/>
    <mergeCell ref="B53:D54"/>
    <mergeCell ref="E53:E54"/>
    <mergeCell ref="F53:H53"/>
    <mergeCell ref="A40:B40"/>
    <mergeCell ref="B42:F42"/>
    <mergeCell ref="A44:A45"/>
    <mergeCell ref="B44:B45"/>
    <mergeCell ref="C44:C45"/>
    <mergeCell ref="D44:D45"/>
    <mergeCell ref="E44:E45"/>
    <mergeCell ref="F44:H44"/>
    <mergeCell ref="B33:I33"/>
    <mergeCell ref="A35:A36"/>
    <mergeCell ref="B35:B36"/>
    <mergeCell ref="C35:C36"/>
    <mergeCell ref="D35:D36"/>
    <mergeCell ref="E35:E36"/>
    <mergeCell ref="F35:H35"/>
    <mergeCell ref="J12:J14"/>
    <mergeCell ref="K12:K14"/>
    <mergeCell ref="E13:G13"/>
    <mergeCell ref="A29:B29"/>
    <mergeCell ref="A31:K31"/>
    <mergeCell ref="B32:K32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rowBreaks count="6" manualBreakCount="6">
    <brk id="32" max="255" man="1"/>
    <brk id="70" max="255" man="1"/>
    <brk id="104" max="255" man="1"/>
    <brk id="151" max="255" man="1"/>
    <brk id="206" max="10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2019-05-12T07:30:12Z</dcterms:modified>
  <cp:category/>
  <cp:version/>
  <cp:contentType/>
  <cp:contentStatus/>
</cp:coreProperties>
</file>