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000" activeTab="10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  <sheet name="расчет обоснований" sheetId="12" r:id="rId12"/>
    <sheet name="Лист согласований" sheetId="13" r:id="rId13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4">'код субсидии'!$B:$C</definedName>
    <definedName name="_xlnm.Print_Area" localSheetId="12">'Лист согласований'!$A:$E</definedName>
    <definedName name="_xlnm.Print_Area" localSheetId="3">'Отраслевой код'!$B:$E</definedName>
    <definedName name="_xlnm.Print_Area" localSheetId="1">'раздел 2  на 01.01.19 '!$A:$C</definedName>
    <definedName name="_xlnm.Print_Area" localSheetId="2">'раздел 3 (табл.2,3,4)'!$A:$N</definedName>
    <definedName name="_xlnm.Print_Area" localSheetId="6">'раздел 4 (табл.6)'!$A:$D</definedName>
    <definedName name="_xlnm.Print_Area" localSheetId="7">'раздел 5(табл.7)'!$A:$E</definedName>
    <definedName name="_xlnm.Print_Area" localSheetId="11">'расчет обоснований'!$A:$F</definedName>
    <definedName name="_xlnm.Print_Area" localSheetId="5">'табл.5'!$A$1:$L$34</definedName>
    <definedName name="_xlnm.Print_Area" localSheetId="0">'титульный лист + раздел 1'!$A:$H</definedName>
    <definedName name="_xlnm.Print_Area" localSheetId="9">'ФЭО ИЦ'!$A:$K</definedName>
    <definedName name="_xlnm.Print_Area" localSheetId="8">'ФЭО МЗ'!$A:$K</definedName>
    <definedName name="_xlnm.Print_Area" localSheetId="10">'ФЭО СС'!$A:$K</definedName>
  </definedNames>
  <calcPr fullCalcOnLoad="1"/>
</workbook>
</file>

<file path=xl/sharedStrings.xml><?xml version="1.0" encoding="utf-8"?>
<sst xmlns="http://schemas.openxmlformats.org/spreadsheetml/2006/main" count="4068" uniqueCount="963">
  <si>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</si>
  <si>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</si>
  <si>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</si>
  <si>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</si>
  <si>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</si>
  <si>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</si>
  <si>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</si>
  <si>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</si>
  <si>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</si>
  <si>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</si>
  <si>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</si>
  <si>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</si>
  <si>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</si>
  <si>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</si>
  <si>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</si>
  <si>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</si>
  <si>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</si>
  <si>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</si>
  <si>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</si>
  <si>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</si>
  <si>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</si>
  <si>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</si>
  <si>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</si>
  <si>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</si>
  <si>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</si>
  <si>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</si>
  <si>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</si>
  <si>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</si>
  <si>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</si>
  <si>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</si>
  <si>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</si>
  <si>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</si>
  <si>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</si>
  <si>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</si>
  <si>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</si>
  <si>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</si>
  <si>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</si>
  <si>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</si>
  <si>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</si>
  <si>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</si>
  <si>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</si>
  <si>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</si>
  <si>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</si>
  <si>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</si>
  <si>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</si>
  <si>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</si>
  <si>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</si>
  <si>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</si>
  <si>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</si>
  <si>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</si>
  <si>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</si>
  <si>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</si>
  <si>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</si>
  <si>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</si>
  <si>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</si>
  <si>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</si>
  <si>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</si>
  <si>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</si>
  <si>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</si>
  <si>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</si>
  <si>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</si>
  <si>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</si>
  <si>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</si>
  <si>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</si>
  <si>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</si>
  <si>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</si>
  <si>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</si>
  <si>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</si>
  <si>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</si>
  <si>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</si>
  <si>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</si>
  <si>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</si>
  <si>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</si>
  <si>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</si>
  <si>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</si>
  <si>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</si>
  <si>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</si>
  <si>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</si>
  <si>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</si>
  <si>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</si>
  <si>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</si>
  <si>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</si>
  <si>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</si>
  <si>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</si>
  <si>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</si>
  <si>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</si>
  <si>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</si>
  <si>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</si>
  <si>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</si>
  <si>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</si>
  <si>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</si>
  <si>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</si>
  <si>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</si>
  <si>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</si>
  <si>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</si>
  <si>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</si>
  <si>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</si>
  <si>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</si>
  <si>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</si>
  <si>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</si>
  <si>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</si>
  <si>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</si>
  <si>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</si>
  <si>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</si>
  <si>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</si>
  <si>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</si>
  <si>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</si>
  <si>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</si>
  <si>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</si>
  <si>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</si>
  <si>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</si>
  <si>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</si>
  <si>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</si>
  <si>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</si>
  <si>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</si>
  <si>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</si>
  <si>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</si>
  <si>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</si>
  <si>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</si>
  <si>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</si>
  <si>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</si>
  <si>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</si>
  <si>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</si>
  <si>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</si>
  <si>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</si>
  <si>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</si>
  <si>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</si>
  <si>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</si>
  <si>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</si>
  <si>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</si>
  <si>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</si>
  <si>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</si>
  <si>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</si>
  <si>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</si>
  <si>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</si>
  <si>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</si>
  <si>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</si>
  <si>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</si>
  <si>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</si>
  <si>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</si>
  <si>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</si>
  <si>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</si>
  <si>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</si>
  <si>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</si>
  <si>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</si>
  <si>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</si>
  <si>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</si>
  <si>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</si>
  <si>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</si>
  <si>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</si>
  <si>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</si>
  <si>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</si>
  <si>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</si>
  <si>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</si>
  <si>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</si>
  <si>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</si>
  <si>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</si>
  <si>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</si>
  <si>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</si>
  <si>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</si>
  <si>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</si>
  <si>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</si>
  <si>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</si>
  <si>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</si>
  <si>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</si>
  <si>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</si>
  <si>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</si>
  <si>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</si>
  <si>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</si>
  <si>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</si>
  <si>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</si>
  <si>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</si>
  <si>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</si>
  <si>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</si>
  <si>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</si>
  <si>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</si>
  <si>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</si>
  <si>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</si>
  <si>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</si>
  <si>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</si>
  <si>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</si>
  <si>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</si>
  <si>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</si>
  <si>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</si>
  <si>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</si>
  <si>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</si>
  <si>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</si>
  <si>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</si>
  <si>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</si>
  <si>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</si>
  <si>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</si>
  <si>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</si>
  <si>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</si>
  <si>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</si>
  <si>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</si>
  <si>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</si>
  <si>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</si>
  <si>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</si>
  <si>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</si>
  <si>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</si>
  <si>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</si>
  <si>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</si>
  <si>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</si>
  <si>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</si>
  <si>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</si>
  <si>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</si>
  <si>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</si>
  <si>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</si>
  <si>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</si>
  <si>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</si>
  <si>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</si>
  <si>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</si>
  <si>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</si>
  <si>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</si>
  <si>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</si>
  <si>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</si>
  <si>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</si>
  <si>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</si>
  <si>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</si>
  <si>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</si>
  <si>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</si>
  <si>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</si>
  <si>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</si>
  <si>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</si>
  <si>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</si>
  <si>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</si>
  <si>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</si>
  <si>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</si>
  <si>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</si>
  <si>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</si>
  <si>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</si>
  <si>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</si>
  <si>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</si>
  <si>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</si>
  <si>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</si>
  <si>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</si>
  <si>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</si>
  <si>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</si>
  <si>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</si>
  <si>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</si>
  <si>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</si>
  <si>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</si>
  <si>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</si>
  <si>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</si>
  <si>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</si>
  <si>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</si>
  <si>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</si>
  <si>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</si>
  <si>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</si>
  <si>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</si>
  <si>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</si>
  <si>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</si>
  <si>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</si>
  <si>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</si>
  <si>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</si>
  <si>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</si>
  <si>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</si>
  <si>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</si>
  <si>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</si>
  <si>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</si>
  <si>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</si>
  <si>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</si>
  <si>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</si>
  <si>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</si>
  <si>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</si>
  <si>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</si>
  <si>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</si>
  <si>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</si>
  <si>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</si>
  <si>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</si>
  <si>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</si>
  <si>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</si>
  <si>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</si>
  <si>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</si>
  <si>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</si>
  <si>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</si>
  <si>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</si>
  <si>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</si>
  <si>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</si>
  <si>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</si>
  <si>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</si>
  <si>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</si>
  <si>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</si>
  <si>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</si>
  <si>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</si>
  <si>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</si>
  <si>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</si>
  <si>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</si>
  <si>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</si>
  <si>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</si>
  <si>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</si>
  <si>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</si>
  <si>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</si>
  <si>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</si>
  <si>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</si>
  <si>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</si>
  <si>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</si>
  <si>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</si>
  <si>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</si>
  <si>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</si>
  <si>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</si>
  <si>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</si>
  <si>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</si>
  <si>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</si>
  <si>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</si>
  <si>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</si>
  <si>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</si>
  <si>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</si>
  <si>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</si>
  <si>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</si>
  <si>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</si>
  <si>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</si>
  <si>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</si>
  <si>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</si>
  <si>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</si>
  <si>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</si>
  <si>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</si>
  <si>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</si>
  <si>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</si>
  <si>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</si>
  <si>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</si>
  <si>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</si>
  <si>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</si>
  <si>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</si>
  <si>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</si>
  <si>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</si>
  <si>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</si>
  <si>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</si>
  <si>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</si>
  <si>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</si>
  <si>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</si>
  <si>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</si>
  <si>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</si>
  <si>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</si>
  <si>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</si>
  <si>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</si>
  <si>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</si>
  <si>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</si>
  <si>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</si>
  <si>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</si>
  <si>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</si>
  <si>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</si>
  <si>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</si>
  <si>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</si>
  <si>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</si>
  <si>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</si>
  <si>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</si>
  <si>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</si>
  <si>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</si>
  <si>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</si>
  <si>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</si>
  <si>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</si>
  <si>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</si>
  <si>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</si>
  <si>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</si>
  <si>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</si>
  <si>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</si>
  <si>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</si>
  <si>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</si>
  <si>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</si>
  <si>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</si>
  <si>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</si>
  <si>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</si>
  <si>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</si>
  <si>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</si>
  <si>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</si>
  <si>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</si>
  <si>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</si>
  <si>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</si>
  <si>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</si>
  <si>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</si>
  <si>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</si>
  <si>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</si>
  <si>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</si>
  <si>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</si>
  <si>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</si>
  <si>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</si>
  <si>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</si>
  <si>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</si>
  <si>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</si>
  <si>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</si>
  <si>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</si>
  <si>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</si>
  <si>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</si>
  <si>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</si>
  <si>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</si>
  <si>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</si>
  <si>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</si>
  <si>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</si>
  <si>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</si>
  <si>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</si>
  <si>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</si>
  <si>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</si>
  <si>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</si>
  <si>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</si>
  <si>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</si>
  <si>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</si>
  <si>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</si>
  <si>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</si>
  <si>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</si>
  <si>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</si>
  <si>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</si>
  <si>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</si>
  <si>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</si>
  <si>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</si>
  <si>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</si>
  <si>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</si>
  <si>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</si>
  <si>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</si>
  <si>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</si>
  <si>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</si>
  <si>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</si>
  <si>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</si>
  <si>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</si>
  <si>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</si>
  <si>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</si>
  <si>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</si>
  <si>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</si>
  <si>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</si>
  <si>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</si>
  <si>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</si>
  <si>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</si>
  <si>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</si>
  <si>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</si>
  <si>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</si>
  <si>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</si>
  <si>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</si>
  <si>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</si>
  <si>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</si>
  <si>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</si>
  <si>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</si>
  <si>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</si>
  <si>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</si>
  <si>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</si>
  <si>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</si>
  <si>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</si>
  <si>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</si>
  <si>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</si>
  <si>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</si>
  <si>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</si>
  <si>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</si>
  <si>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</si>
  <si>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</si>
  <si>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</si>
  <si>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</si>
  <si>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</si>
  <si>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</si>
  <si>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</si>
  <si>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</si>
  <si>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</si>
  <si>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</si>
  <si>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</si>
  <si>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</si>
  <si>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</si>
  <si>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</si>
  <si>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</si>
  <si>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</si>
  <si>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</si>
  <si>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</si>
  <si>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</si>
  <si>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</si>
  <si>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</si>
  <si>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</si>
  <si>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</si>
  <si>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</si>
  <si>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</si>
  <si>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</si>
  <si>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</si>
  <si>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</si>
  <si>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</si>
  <si>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</si>
  <si>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</si>
  <si>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</si>
  <si>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</si>
  <si>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</si>
  <si>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</si>
  <si>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</si>
  <si>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</si>
  <si>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</si>
  <si>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</si>
  <si>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</si>
  <si>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</si>
  <si>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</si>
  <si>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</si>
  <si>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</si>
  <si>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</si>
  <si>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</si>
  <si>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</si>
  <si>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</si>
  <si>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</si>
  <si>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</si>
  <si>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</si>
  <si>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</si>
  <si>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</si>
  <si>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</si>
  <si>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</si>
  <si>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</si>
  <si>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</si>
  <si>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</si>
  <si>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</si>
  <si>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</si>
  <si>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</si>
  <si>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</si>
  <si>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</si>
  <si>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</si>
  <si>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</si>
  <si>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</si>
  <si>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</si>
  <si>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</si>
  <si>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</si>
  <si>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</si>
  <si>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</si>
  <si>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</si>
  <si>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</si>
  <si>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</si>
  <si>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</si>
  <si>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</si>
  <si>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</si>
  <si>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</si>
  <si>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</si>
  <si>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</si>
  <si>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</si>
  <si>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</si>
  <si>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</si>
  <si>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</si>
  <si>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</si>
  <si>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</si>
  <si>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</si>
  <si>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</si>
  <si>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</si>
  <si>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</si>
  <si>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</si>
  <si>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</si>
  <si>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</si>
  <si>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</si>
  <si>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</si>
  <si>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</si>
  <si>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</si>
  <si>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</si>
  <si>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</si>
  <si>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</si>
  <si>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</si>
  <si>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</si>
  <si>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</si>
  <si>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</si>
  <si>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</si>
  <si>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</si>
  <si>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</si>
  <si>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</si>
  <si>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</si>
  <si>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</si>
  <si>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</si>
  <si>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</si>
  <si>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</si>
  <si>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</si>
  <si>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</si>
  <si>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</si>
  <si>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</si>
  <si>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</si>
  <si>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</si>
  <si>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</si>
  <si>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</si>
  <si>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</si>
  <si>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</si>
  <si>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</si>
  <si>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</si>
  <si>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</si>
  <si>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</si>
  <si>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</si>
  <si>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</si>
  <si>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</si>
  <si>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</si>
  <si>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</si>
  <si>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</si>
  <si>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</si>
  <si>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</si>
  <si>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</si>
  <si>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</si>
  <si>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</si>
  <si>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</si>
  <si>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</si>
  <si>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</si>
  <si>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</si>
  <si>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</si>
  <si>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</si>
  <si>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</si>
  <si>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</si>
  <si>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</si>
  <si>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</si>
  <si>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</si>
  <si>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</si>
  <si>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</si>
  <si>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</si>
  <si>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</si>
  <si>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</si>
  <si>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</si>
  <si>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</si>
  <si>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</si>
  <si>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</si>
  <si>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</si>
  <si>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</si>
  <si>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</si>
  <si>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</si>
  <si>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</si>
  <si>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</si>
  <si>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</si>
  <si>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</si>
  <si>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</si>
  <si>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</si>
  <si>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</si>
  <si>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</si>
  <si>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</si>
  <si>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</si>
  <si>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</si>
  <si>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</si>
  <si>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</si>
  <si>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</si>
  <si>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</si>
  <si>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</si>
  <si>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</si>
  <si>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</si>
  <si>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</si>
  <si>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</si>
  <si>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</si>
  <si>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</si>
  <si>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</si>
  <si>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</si>
  <si>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</si>
  <si>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</si>
  <si>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</si>
  <si>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</si>
  <si>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</si>
  <si>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</si>
  <si>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</si>
  <si>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</si>
  <si>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</si>
  <si>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</si>
  <si>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</si>
  <si>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</si>
  <si>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</si>
  <si>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</si>
  <si>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</si>
  <si>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</si>
  <si>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</si>
  <si>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</si>
  <si>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</si>
  <si>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</si>
  <si>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</si>
  <si>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</si>
  <si>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</si>
  <si>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</si>
  <si>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</si>
  <si>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</si>
  <si>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</si>
  <si>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</si>
  <si>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</si>
  <si>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</si>
  <si>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</si>
  <si>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</si>
  <si>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</si>
  <si>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</si>
  <si>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</si>
  <si>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</si>
  <si>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</si>
  <si>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</si>
  <si>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</si>
  <si>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</si>
  <si>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</si>
  <si>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</si>
  <si>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</si>
  <si>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</si>
  <si>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</si>
  <si>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</si>
  <si>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</si>
  <si>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</si>
  <si>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</si>
  <si>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</si>
  <si>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</si>
  <si>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</si>
  <si>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</si>
  <si>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</si>
  <si>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</si>
  <si>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</si>
  <si>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</si>
  <si>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</si>
  <si>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</si>
  <si>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</si>
  <si>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</si>
  <si>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</si>
  <si>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</si>
  <si>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</si>
  <si>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</si>
  <si>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</si>
  <si>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</si>
  <si>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</si>
  <si>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</si>
  <si>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</si>
  <si>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</si>
  <si>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</si>
  <si>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</si>
  <si>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</si>
  <si>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</si>
  <si>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</si>
  <si>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</si>
  <si>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</si>
  <si>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</si>
  <si>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</si>
  <si>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</si>
  <si>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</si>
  <si>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</si>
  <si>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</si>
  <si>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</si>
  <si>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</si>
  <si>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</si>
  <si>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</si>
  <si>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</si>
  <si>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</si>
  <si>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</si>
  <si>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</si>
  <si>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</si>
  <si>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</si>
  <si>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</si>
  <si>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</si>
  <si>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</si>
  <si>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</si>
  <si>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</si>
  <si>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</si>
  <si>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</si>
  <si>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</si>
  <si>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</si>
  <si>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</si>
  <si>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</si>
  <si>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</si>
  <si>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</si>
  <si>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</si>
  <si>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</si>
  <si>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</si>
  <si>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</si>
  <si>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</si>
  <si>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</si>
  <si>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</si>
  <si>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</si>
  <si>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</si>
  <si>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</si>
  <si>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</si>
  <si>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</si>
  <si>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</si>
  <si>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3-дня больничных</t>
  </si>
  <si>
    <t>3- дня больничных</t>
  </si>
  <si>
    <t>Монтаж и наладка</t>
  </si>
  <si>
    <t>монтаж и наладка</t>
  </si>
  <si>
    <t>работы, услуги  для целей кап.вложений</t>
  </si>
  <si>
    <t>Строй материалы</t>
  </si>
  <si>
    <t>Зап,части</t>
  </si>
  <si>
    <t>-</t>
  </si>
  <si>
    <t>901480000</t>
  </si>
  <si>
    <t>901160000</t>
  </si>
  <si>
    <t>901830000</t>
  </si>
  <si>
    <t>901150000</t>
  </si>
  <si>
    <t>Выходное пособие</t>
  </si>
  <si>
    <t>Пенсии, пособия, выплачиваемые работодателями, нанимателями бывшим работникам в денежной форме</t>
  </si>
  <si>
    <t>Пособие на период трудоустройства</t>
  </si>
  <si>
    <t>Призы, подарки</t>
  </si>
  <si>
    <t xml:space="preserve">телефон </t>
  </si>
  <si>
    <t>«   »                      2019 г.</t>
  </si>
  <si>
    <t xml:space="preserve">   "    "                              2019</t>
  </si>
  <si>
    <t>на "    "                   2019  г.</t>
  </si>
  <si>
    <t>на "    "                           2019  г.</t>
  </si>
  <si>
    <t>Расчет обоснования изменений</t>
  </si>
  <si>
    <t>В части приносящей доход деятельности</t>
  </si>
  <si>
    <t>Отклонение (руб)</t>
  </si>
  <si>
    <t xml:space="preserve">Примечание </t>
  </si>
  <si>
    <t>Итого поступления</t>
  </si>
  <si>
    <t>851/290</t>
  </si>
  <si>
    <t>851/291</t>
  </si>
  <si>
    <t>852/291</t>
  </si>
  <si>
    <t>853/297</t>
  </si>
  <si>
    <t>Итого выплаты</t>
  </si>
  <si>
    <t>В части субсидий на муниципальное задание</t>
  </si>
  <si>
    <t>112/266</t>
  </si>
  <si>
    <t>853/290</t>
  </si>
  <si>
    <t>853/291</t>
  </si>
  <si>
    <t>В части субсидий на иные цели</t>
  </si>
  <si>
    <t>Главный бухгалтер ОУ:</t>
  </si>
  <si>
    <t>в штате отсутствует</t>
  </si>
  <si>
    <r>
      <t xml:space="preserve">Учреждение:    </t>
    </r>
    <r>
      <rPr>
        <b/>
        <i/>
        <sz val="16"/>
        <color indexed="8"/>
        <rFont val="Times New Roman"/>
        <family val="1"/>
      </rPr>
      <t>МАОУ "Гимназия №1" г. Перми</t>
    </r>
  </si>
  <si>
    <t>Исполнитель специалист</t>
  </si>
  <si>
    <t xml:space="preserve">Тел.: </t>
  </si>
  <si>
    <t>111/211</t>
  </si>
  <si>
    <t>111/266</t>
  </si>
  <si>
    <t>850/290</t>
  </si>
  <si>
    <t>853/292</t>
  </si>
  <si>
    <t>112/267</t>
  </si>
  <si>
    <t>06 4 02 005903</t>
  </si>
  <si>
    <t>Лагерь</t>
  </si>
  <si>
    <t>901270000</t>
  </si>
  <si>
    <t>901890000</t>
  </si>
  <si>
    <t>901870000</t>
  </si>
  <si>
    <t>07 2 02 2Н0203</t>
  </si>
  <si>
    <t>Организация оздоровления и отдыха детей</t>
  </si>
  <si>
    <t>07 4 02 008203</t>
  </si>
  <si>
    <t>Доп соглашение №3(санкур,медали, аттестаты, УоБ)</t>
  </si>
  <si>
    <t>ЛИСТ СОГЛАСОВАНИЙ</t>
  </si>
  <si>
    <r>
      <t>Название проекта:</t>
    </r>
    <r>
      <rPr>
        <sz val="12"/>
        <color indexed="8"/>
        <rFont val="Times New Roman"/>
        <family val="1"/>
      </rPr>
      <t xml:space="preserve"> план финансово-хозяйственной деятельности на 2019-2021 гг.  образовательного учреждения</t>
    </r>
  </si>
  <si>
    <t xml:space="preserve">  </t>
  </si>
  <si>
    <t>Должность и наименование структурного подразделения администрации города</t>
  </si>
  <si>
    <t>Фамилия, инициалы</t>
  </si>
  <si>
    <t>Дата поступления</t>
  </si>
  <si>
    <t>Замечания,предложения</t>
  </si>
  <si>
    <t>Подпись</t>
  </si>
  <si>
    <t>Желтова О.Ю.</t>
  </si>
  <si>
    <t>Изменений нет</t>
  </si>
  <si>
    <t>МАОУ "Гимназия №1" г.Перми</t>
  </si>
  <si>
    <t xml:space="preserve">тел. </t>
  </si>
  <si>
    <t xml:space="preserve">Исполнитель специалист </t>
  </si>
  <si>
    <t>Бусова О. В.</t>
  </si>
  <si>
    <t>Директор МКУ «ЦБУиО»</t>
  </si>
  <si>
    <t>Отдел планирования и исполнения бюджета МКУ «ЦБУиО»</t>
  </si>
  <si>
    <t xml:space="preserve">Отдел формирования и контроля исполнения муниципального задания МКУ «ЦБУиО» </t>
  </si>
  <si>
    <t>Отдел консолидированной отчетности МКУ «ЦБУиО»</t>
  </si>
  <si>
    <t>УоБ</t>
  </si>
  <si>
    <t>Медали</t>
  </si>
  <si>
    <t>Аттестаты</t>
  </si>
  <si>
    <t>УМК для УоБ</t>
  </si>
  <si>
    <t>Санкур</t>
  </si>
  <si>
    <t>1.1. 1 Расчеты (обоснования) выплат персоналу по социальным пособиям и компенсациям</t>
  </si>
  <si>
    <t>071022Н0201</t>
  </si>
  <si>
    <t>услуги связзи</t>
  </si>
  <si>
    <t>07101005903</t>
  </si>
  <si>
    <t>страховка</t>
  </si>
  <si>
    <t>901140000</t>
  </si>
  <si>
    <t>Меры социальной поддержки педагогических работников - средства Пермского края</t>
  </si>
  <si>
    <t>Расходы на ведение лектронных дневников и журналов</t>
  </si>
  <si>
    <t>Компенсация части родительской платы</t>
  </si>
  <si>
    <t>Меры социальной поддержки учащимся из многодетных малоимущих семей (питание)</t>
  </si>
  <si>
    <t>Меры социальной поддержки учащимся из многодетных малоимущих семей (одежда)</t>
  </si>
  <si>
    <t xml:space="preserve">Меры социальной поддержки учащимся из малоимущих семей </t>
  </si>
  <si>
    <t>Меры социальной поддержки педагогических работников - средства Пермского края (единовременные выплаты)</t>
  </si>
  <si>
    <t>Конвертация данных для централизации учета</t>
  </si>
  <si>
    <t>Обеспечение работников путевками на санаторно-курортное лечение и оздоровление - средства г.Перми</t>
  </si>
  <si>
    <t>06101SC2401</t>
  </si>
  <si>
    <t>Обеспечение работников путевками на санаторно-курортное лечение и оздоровление - средства Пермского края</t>
  </si>
  <si>
    <t>06101SC2402</t>
  </si>
  <si>
    <t>Меры социальной поддержки педагогических работников (единовременные выплаты)</t>
  </si>
  <si>
    <t>901060000</t>
  </si>
  <si>
    <t>просие работы, услуги</t>
  </si>
  <si>
    <t>901370000</t>
  </si>
  <si>
    <t>91100221503</t>
  </si>
  <si>
    <t>стройматериалы</t>
  </si>
  <si>
    <t>мягкий инвентарь</t>
  </si>
  <si>
    <t>074032Н0201</t>
  </si>
  <si>
    <t>План по состоянию на 17.06.2019 (руб)</t>
  </si>
  <si>
    <t>к плану Финансово-хозяйственной деятельности от     28.06.2019 года</t>
  </si>
  <si>
    <t>План по состоянию на 28.06.2019 (руб)</t>
  </si>
  <si>
    <t>Доп соглашения по муниципальному заданию №4 (Корректировка 2019 1 кв); №5 (реорганизация)</t>
  </si>
  <si>
    <t>Изменения в связи с реорганизацией</t>
  </si>
  <si>
    <t>853/295</t>
  </si>
  <si>
    <t>321/264</t>
  </si>
  <si>
    <t>Доп соглашения №4 (корректировка 2019 1 кв); №5 (реорганизация)</t>
  </si>
  <si>
    <t>Доп соглашение №5 (реорганизация)</t>
  </si>
  <si>
    <t>Доп соглашения по муниципальному заданию №4 (Корректировка 2019 1 кв); №5 (реорганизация), а также изменения в части ИЦ Доп соглашение №3 (реорганизация) и предпринимательской деятельности в связи с реорганизацией</t>
  </si>
  <si>
    <t>МАОУ "Гимназия №1"</t>
  </si>
  <si>
    <t>1.1.1 Расчеты (обоснования) расходов на оплату труда</t>
  </si>
  <si>
    <t>выплаты по уходу за ребенком до 3-х лет</t>
  </si>
  <si>
    <t>1.4.1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</si>
  <si>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3.1 Расчет (обоснование) расходов на уплату налогов, сборов и иных платежей (строка 230) &lt;6&gt;</t>
  </si>
  <si>
    <t>6.1.1 Расчет (обоснование) расходов на оплату услуг связи</t>
  </si>
  <si>
    <t>услуги интернет</t>
  </si>
  <si>
    <t>6.3.1 Расчет (обоснование) расходов на оплату коммунальных услуг &lt;11&gt;</t>
  </si>
  <si>
    <t>тепловая энергия</t>
  </si>
  <si>
    <t>электрическая энергия</t>
  </si>
  <si>
    <t>водоснабжение, водоотведение</t>
  </si>
  <si>
    <t>6.5.1 Расчет (обоснование) расходов на оплату работ, услуг по содержанию имущества &lt;13&gt;</t>
  </si>
  <si>
    <t>дератизация, дезинсекция</t>
  </si>
  <si>
    <t>ООО "Дезцентр-Пермь"</t>
  </si>
  <si>
    <t>техническое обслуживание оборудования системы ОПС</t>
  </si>
  <si>
    <t>ООО "ЧОА "Аргентум-Секьюрити"</t>
  </si>
  <si>
    <t>обслуживание оборудования</t>
  </si>
  <si>
    <t>ИП Иванов Сергей Юрьевич</t>
  </si>
  <si>
    <t>техническое обслуживания домофонной системы, видеонаблюдения и автоматических ворот</t>
  </si>
  <si>
    <t>ИП Губанов Михаил Александрович</t>
  </si>
  <si>
    <t>техническое обслуживание противопожарных дверей</t>
  </si>
  <si>
    <t>ООО "АВД"</t>
  </si>
  <si>
    <t>вывоз ТБО, КГО</t>
  </si>
  <si>
    <t>ООО "Рециклинг"</t>
  </si>
  <si>
    <t>техническое обслуживание объектовой станции ПАК "Стрелец-Мониторинг"</t>
  </si>
  <si>
    <t>ООО "Служба-Мониторинг"</t>
  </si>
  <si>
    <t>заправка картриджей</t>
  </si>
  <si>
    <t>ИП Ташкинов Иван Алексеевич</t>
  </si>
  <si>
    <t>техническое обслуживание системы отопления, водоснабжения, канализации</t>
  </si>
  <si>
    <t>Мотырев Михаил Николаевич</t>
  </si>
  <si>
    <t>техническое обслуживание комплекса технических средств</t>
  </si>
  <si>
    <t>ФГУП "Охрана "Федеральной службы войск национальной гвардии РФ"</t>
  </si>
  <si>
    <t>стирка, глажка белья</t>
  </si>
  <si>
    <t>ООО "Формула чистоты"</t>
  </si>
  <si>
    <t>проверка вентиляции</t>
  </si>
  <si>
    <t>ООО "Экострой"</t>
  </si>
  <si>
    <t>опрессовка теплового узла, бойлера</t>
  </si>
  <si>
    <t>текущий ремонт</t>
  </si>
  <si>
    <t>хамена счетчика ГВС</t>
  </si>
  <si>
    <t>6.6.1 Расчет (обоснование) расходов на оплату прочих работ, услуг &lt;14&gt;</t>
  </si>
  <si>
    <t>услуги по наблюдению и реагированию на сигналы КЭВП</t>
  </si>
  <si>
    <t>ежемесячный съем показаний с узла учета тепловой энергии</t>
  </si>
  <si>
    <t>сопровождение задач информационной системы бухгалтерского учета</t>
  </si>
  <si>
    <t>услуги охраны</t>
  </si>
  <si>
    <t>электронная система "Госфинансы"</t>
  </si>
  <si>
    <t>услуги технического мониторинга</t>
  </si>
  <si>
    <t>электронные ключи</t>
  </si>
  <si>
    <t>опубликование сообщения</t>
  </si>
  <si>
    <t>страхование имущества</t>
  </si>
  <si>
    <t>пробы песка</t>
  </si>
  <si>
    <t>поверка весов</t>
  </si>
  <si>
    <t>курсы повышения квалификации педагогического персонала</t>
  </si>
  <si>
    <t>6.7.1  Расчет (обоснование) расходов на приобретение основных средств &lt;15&gt;</t>
  </si>
  <si>
    <t>учебники</t>
  </si>
  <si>
    <t>планшеты, ноутбуки</t>
  </si>
  <si>
    <t>игровое оборудование, малые формы</t>
  </si>
  <si>
    <t>6.8.1  Расчет (обоснование) расходов на приобретение материальных запасов &lt;15&gt;</t>
  </si>
  <si>
    <t>чистящие и моющие средства</t>
  </si>
  <si>
    <t>посуда</t>
  </si>
  <si>
    <t>канцелярские товары</t>
  </si>
  <si>
    <t>объекты доступной среды</t>
  </si>
  <si>
    <t>песок</t>
  </si>
  <si>
    <t xml:space="preserve">1.3.1  Расчеты (обоснования) выплат персоналу и выплат по уходу за ребенком </t>
  </si>
  <si>
    <t>единовременные выплаты - 23 статья</t>
  </si>
  <si>
    <t>2.1 Расчет (обоснование) расходов на социальные и иные выплаты населению (строка 220) &lt;5&gt;</t>
  </si>
  <si>
    <t>Ожидаемая кредиторская задолженность на 01.01.2019г. по предоставление бесплатного питания отдельным категориям учащихся в общеобразовательных учреждениях</t>
  </si>
  <si>
    <t>Обеспечение работников путевками на санаторно-курортное лечение и оздоровление</t>
  </si>
  <si>
    <t>Конвертация</t>
  </si>
  <si>
    <t>конвертация</t>
  </si>
  <si>
    <t>1.1 Расчеты (обоснования) выплат персоналу (строка 210) &lt;2&gt;</t>
  </si>
  <si>
    <t>Административный штраф</t>
  </si>
  <si>
    <t>ремонт отопления в спортзале</t>
  </si>
  <si>
    <t>ремонт кровли склада</t>
  </si>
  <si>
    <t>кронирование деревьев</t>
  </si>
  <si>
    <t>ремонт в прачечной</t>
  </si>
  <si>
    <t>дог.\гпх</t>
  </si>
  <si>
    <t>курсы повышения квалификации</t>
  </si>
  <si>
    <t>ежемесячное вознаграждение Лецензиара</t>
  </si>
  <si>
    <t>договор ГПХ</t>
  </si>
  <si>
    <t>расходы на медосмотр</t>
  </si>
  <si>
    <t>культуроно-массовое мероприятие</t>
  </si>
  <si>
    <t>интерактивное и игровое оборудование</t>
  </si>
  <si>
    <t>малые формы</t>
  </si>
  <si>
    <t>раскладушки</t>
  </si>
  <si>
    <t>продукты питания (школа)</t>
  </si>
  <si>
    <t>продукты питания (сотрудники)</t>
  </si>
  <si>
    <t>продукты питания (сад)</t>
  </si>
  <si>
    <t>светильники</t>
  </si>
  <si>
    <t>кухонный инвентарь</t>
  </si>
  <si>
    <t>1.3.  Расчеты (обоснования) выплат персоналу по уходу за ребенком, первые 3 дня больничного</t>
  </si>
  <si>
    <t>первые 3 дня больничного за счет работодателя</t>
  </si>
  <si>
    <t>6.8.1  Расчет (обоснование) расходов на приобретение продуктов питания</t>
  </si>
  <si>
    <t>Для оплаты налога на прибыль</t>
  </si>
  <si>
    <t>Изменения в связи с реорганизацией, Для оплаты налога на прибыль</t>
  </si>
  <si>
    <t>Страхование</t>
  </si>
  <si>
    <t>6.8.  Расчет (обоснование) расходов на приобретение основных средств &lt;15&gt;</t>
  </si>
  <si>
    <t>6.9.  Расчет (обоснование) расходов на приобретение материальных запасов &lt;15&gt;</t>
  </si>
  <si>
    <t>6.10.  Расчет (обоснование) расходов на прочие расходы</t>
  </si>
  <si>
    <t>6.7.  Расчет (обоснование) расходов на страхование</t>
  </si>
  <si>
    <t>Пошлина за переоформление свидетельства о гос аккредитации</t>
  </si>
  <si>
    <t>Для оплаты пошлины</t>
  </si>
  <si>
    <t>Дошкольное образование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</si>
</sst>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sz val="12"/>
      <color indexed="9"/>
      <name val="Times New Roman"/>
      <family val="1"/>
    </font>
    <font>
      <sz val="5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5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9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93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93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93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93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93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94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95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96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9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99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102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10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4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5" fillId="0" borderId="0" applyNumberFormat="0" applyFill="0" applyBorder="0" applyAlignment="0" applyProtection="0"/>
    <xf numFmtId="0" fontId="106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0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10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0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77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11" fillId="0" borderId="13" xfId="0" applyFont="1" applyBorder="1" applyAlignment="1">
      <alignment vertical="top" wrapText="1"/>
    </xf>
    <xf numFmtId="0" fontId="11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1" fillId="0" borderId="0" xfId="0" applyFont="1" applyAlignment="1">
      <alignment/>
    </xf>
    <xf numFmtId="0" fontId="111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111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1" fillId="0" borderId="32" xfId="0" applyFont="1" applyBorder="1" applyAlignment="1">
      <alignment vertical="top" wrapText="1"/>
    </xf>
    <xf numFmtId="0" fontId="112" fillId="0" borderId="0" xfId="0" applyFont="1" applyAlignment="1">
      <alignment/>
    </xf>
    <xf numFmtId="0" fontId="1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11" fillId="0" borderId="33" xfId="0" applyFont="1" applyBorder="1" applyAlignment="1">
      <alignment/>
    </xf>
    <xf numFmtId="0" fontId="0" fillId="0" borderId="33" xfId="0" applyBorder="1" applyAlignment="1">
      <alignment/>
    </xf>
    <xf numFmtId="2" fontId="11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11" fillId="0" borderId="0" xfId="0" applyFont="1" applyFill="1" applyAlignment="1">
      <alignment horizontal="center"/>
    </xf>
    <xf numFmtId="0" fontId="111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101" fillId="0" borderId="13" xfId="0" applyFont="1" applyBorder="1" applyAlignment="1">
      <alignment horizontal="center"/>
    </xf>
    <xf numFmtId="0" fontId="10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14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11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17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17" fillId="105" borderId="13" xfId="0" applyFont="1" applyFill="1" applyBorder="1" applyAlignment="1">
      <alignment horizontal="center" vertical="top" wrapText="1"/>
    </xf>
    <xf numFmtId="0" fontId="117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17" fillId="0" borderId="36" xfId="0" applyFont="1" applyBorder="1" applyAlignment="1">
      <alignment vertical="center" wrapText="1"/>
    </xf>
    <xf numFmtId="0" fontId="117" fillId="0" borderId="13" xfId="0" applyFont="1" applyBorder="1" applyAlignment="1">
      <alignment horizontal="center" vertical="top" wrapText="1"/>
    </xf>
    <xf numFmtId="0" fontId="117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17" fillId="0" borderId="36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horizontal="center" vertical="top" wrapText="1"/>
    </xf>
    <xf numFmtId="49" fontId="117" fillId="0" borderId="13" xfId="0" applyNumberFormat="1" applyFont="1" applyFill="1" applyBorder="1" applyAlignment="1">
      <alignment horizontal="center" vertical="top" wrapText="1"/>
    </xf>
    <xf numFmtId="49" fontId="117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17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17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left" vertical="top" wrapText="1"/>
    </xf>
    <xf numFmtId="0" fontId="117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0" fontId="117" fillId="0" borderId="35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18" fillId="0" borderId="13" xfId="0" applyFont="1" applyBorder="1" applyAlignment="1">
      <alignment vertical="center" wrapText="1"/>
    </xf>
    <xf numFmtId="0" fontId="118" fillId="0" borderId="13" xfId="0" applyFont="1" applyFill="1" applyBorder="1" applyAlignment="1">
      <alignment vertical="center" wrapText="1"/>
    </xf>
    <xf numFmtId="0" fontId="118" fillId="0" borderId="30" xfId="0" applyFont="1" applyFill="1" applyBorder="1" applyAlignment="1">
      <alignment horizontal="left" vertical="center" wrapText="1"/>
    </xf>
    <xf numFmtId="0" fontId="117" fillId="0" borderId="31" xfId="0" applyFont="1" applyFill="1" applyBorder="1" applyAlignment="1">
      <alignment horizontal="center" vertical="top" wrapText="1"/>
    </xf>
    <xf numFmtId="0" fontId="117" fillId="0" borderId="30" xfId="0" applyFont="1" applyFill="1" applyBorder="1" applyAlignment="1">
      <alignment horizontal="center" vertical="top" wrapText="1"/>
    </xf>
    <xf numFmtId="49" fontId="117" fillId="0" borderId="34" xfId="0" applyNumberFormat="1" applyFont="1" applyFill="1" applyBorder="1" applyAlignment="1">
      <alignment vertical="top" wrapText="1"/>
    </xf>
    <xf numFmtId="0" fontId="117" fillId="0" borderId="32" xfId="0" applyFont="1" applyFill="1" applyBorder="1" applyAlignment="1">
      <alignment horizontal="center" vertical="top" wrapText="1"/>
    </xf>
    <xf numFmtId="0" fontId="117" fillId="0" borderId="13" xfId="0" applyFont="1" applyFill="1" applyBorder="1" applyAlignment="1">
      <alignment vertical="top" wrapText="1"/>
    </xf>
    <xf numFmtId="0" fontId="117" fillId="0" borderId="34" xfId="0" applyFont="1" applyFill="1" applyBorder="1" applyAlignment="1">
      <alignment vertical="top" wrapText="1"/>
    </xf>
    <xf numFmtId="0" fontId="117" fillId="0" borderId="31" xfId="0" applyFont="1" applyFill="1" applyBorder="1" applyAlignment="1">
      <alignment vertical="top" wrapText="1"/>
    </xf>
    <xf numFmtId="0" fontId="117" fillId="0" borderId="38" xfId="0" applyFont="1" applyFill="1" applyBorder="1" applyAlignment="1">
      <alignment vertical="top" wrapText="1"/>
    </xf>
    <xf numFmtId="0" fontId="119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vertical="center" wrapText="1"/>
    </xf>
    <xf numFmtId="0" fontId="121" fillId="0" borderId="13" xfId="0" applyFont="1" applyFill="1" applyBorder="1" applyAlignment="1">
      <alignment horizontal="center" vertical="top" wrapText="1"/>
    </xf>
    <xf numFmtId="0" fontId="121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21" fillId="0" borderId="13" xfId="0" applyFont="1" applyFill="1" applyBorder="1" applyAlignment="1">
      <alignment vertical="center" wrapText="1"/>
    </xf>
    <xf numFmtId="0" fontId="121" fillId="105" borderId="13" xfId="0" applyFont="1" applyFill="1" applyBorder="1" applyAlignment="1">
      <alignment horizontal="center" vertical="top" wrapText="1"/>
    </xf>
    <xf numFmtId="0" fontId="121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21" fillId="0" borderId="36" xfId="0" applyFont="1" applyFill="1" applyBorder="1" applyAlignment="1">
      <alignment vertical="center" wrapText="1"/>
    </xf>
    <xf numFmtId="49" fontId="121" fillId="0" borderId="13" xfId="0" applyNumberFormat="1" applyFont="1" applyFill="1" applyBorder="1" applyAlignment="1">
      <alignment horizontal="center" vertical="top" wrapText="1"/>
    </xf>
    <xf numFmtId="49" fontId="121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21" fillId="0" borderId="13" xfId="0" applyFont="1" applyBorder="1" applyAlignment="1">
      <alignment horizontal="center" vertical="top" wrapText="1"/>
    </xf>
    <xf numFmtId="4" fontId="121" fillId="0" borderId="13" xfId="0" applyNumberFormat="1" applyFont="1" applyBorder="1" applyAlignment="1">
      <alignment horizontal="center" vertical="top" wrapText="1"/>
    </xf>
    <xf numFmtId="0" fontId="120" fillId="0" borderId="13" xfId="0" applyFont="1" applyBorder="1" applyAlignment="1">
      <alignment vertical="center" wrapText="1"/>
    </xf>
    <xf numFmtId="0" fontId="121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11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13" fillId="0" borderId="13" xfId="606" applyNumberFormat="1" applyFont="1" applyFill="1" applyBorder="1" applyAlignment="1">
      <alignment horizontal="center" wrapText="1"/>
      <protection/>
    </xf>
    <xf numFmtId="0" fontId="113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13" fillId="0" borderId="0" xfId="606" applyFont="1" applyFill="1" applyBorder="1" applyAlignment="1">
      <alignment horizontal="center" vertical="top" wrapText="1"/>
      <protection/>
    </xf>
    <xf numFmtId="0" fontId="113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11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11" fillId="0" borderId="0" xfId="580" applyFont="1" applyFill="1">
      <alignment/>
      <protection/>
    </xf>
    <xf numFmtId="0" fontId="111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13" fillId="0" borderId="13" xfId="606" applyNumberFormat="1" applyFont="1" applyFill="1" applyBorder="1" applyAlignment="1">
      <alignment horizontal="center" wrapText="1"/>
      <protection/>
    </xf>
    <xf numFmtId="171" fontId="113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17" fillId="0" borderId="13" xfId="0" applyFont="1" applyFill="1" applyBorder="1" applyAlignment="1">
      <alignment horizontal="center" vertical="center" wrapText="1"/>
    </xf>
    <xf numFmtId="49" fontId="117" fillId="0" borderId="13" xfId="0" applyNumberFormat="1" applyFont="1" applyFill="1" applyBorder="1" applyAlignment="1">
      <alignment horizontal="center" vertical="center" wrapText="1"/>
    </xf>
    <xf numFmtId="171" fontId="69" fillId="0" borderId="0" xfId="580" applyNumberFormat="1" applyFont="1" applyFill="1" applyBorder="1">
      <alignment/>
      <protection/>
    </xf>
    <xf numFmtId="0" fontId="70" fillId="0" borderId="36" xfId="580" applyNumberFormat="1" applyFont="1" applyFill="1" applyBorder="1" applyAlignment="1">
      <alignment horizontal="center" vertical="center"/>
      <protection/>
    </xf>
    <xf numFmtId="4" fontId="70" fillId="0" borderId="13" xfId="580" applyNumberFormat="1" applyFont="1" applyFill="1" applyBorder="1" applyAlignment="1">
      <alignment horizontal="center" vertical="center"/>
      <protection/>
    </xf>
    <xf numFmtId="0" fontId="70" fillId="0" borderId="0" xfId="580" applyNumberFormat="1" applyFont="1" applyFill="1" applyBorder="1" applyAlignment="1">
      <alignment horizontal="center"/>
      <protection/>
    </xf>
    <xf numFmtId="0" fontId="70" fillId="0" borderId="0" xfId="580" applyFont="1" applyFill="1" applyBorder="1">
      <alignment/>
      <protection/>
    </xf>
    <xf numFmtId="0" fontId="70" fillId="0" borderId="0" xfId="580" applyFont="1" applyFill="1">
      <alignment/>
      <protection/>
    </xf>
    <xf numFmtId="49" fontId="71" fillId="0" borderId="39" xfId="580" applyNumberFormat="1" applyFont="1" applyFill="1" applyBorder="1" applyAlignment="1">
      <alignment horizontal="left"/>
      <protection/>
    </xf>
    <xf numFmtId="49" fontId="71" fillId="0" borderId="33" xfId="580" applyNumberFormat="1" applyFont="1" applyFill="1" applyBorder="1" applyAlignment="1">
      <alignment horizontal="left"/>
      <protection/>
    </xf>
    <xf numFmtId="0" fontId="74" fillId="0" borderId="39" xfId="580" applyNumberFormat="1" applyFont="1" applyFill="1" applyBorder="1" applyAlignment="1">
      <alignment horizontal="center"/>
      <protection/>
    </xf>
    <xf numFmtId="4" fontId="71" fillId="0" borderId="0" xfId="580" applyNumberFormat="1" applyFont="1" applyFill="1">
      <alignment/>
      <protection/>
    </xf>
    <xf numFmtId="0" fontId="117" fillId="0" borderId="0" xfId="0" applyFont="1" applyAlignment="1">
      <alignment wrapText="1"/>
    </xf>
    <xf numFmtId="0" fontId="71" fillId="0" borderId="36" xfId="580" applyFont="1" applyFill="1" applyBorder="1" applyAlignment="1">
      <alignment horizontal="center" vertical="center"/>
      <protection/>
    </xf>
    <xf numFmtId="0" fontId="71" fillId="0" borderId="13" xfId="580" applyFont="1" applyFill="1" applyBorder="1" applyAlignment="1">
      <alignment horizontal="center" vertical="center"/>
      <protection/>
    </xf>
    <xf numFmtId="0" fontId="74" fillId="0" borderId="0" xfId="580" applyNumberFormat="1" applyFont="1" applyFill="1" applyBorder="1" applyAlignment="1">
      <alignment horizontal="center" vertical="center"/>
      <protection/>
    </xf>
    <xf numFmtId="49" fontId="74" fillId="0" borderId="0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 applyBorder="1">
      <alignment/>
      <protection/>
    </xf>
    <xf numFmtId="0" fontId="69" fillId="0" borderId="13" xfId="580" applyFont="1" applyFill="1" applyBorder="1" applyAlignment="1">
      <alignment vertical="center"/>
      <protection/>
    </xf>
    <xf numFmtId="0" fontId="7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1" fontId="3" fillId="0" borderId="13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 indent="1"/>
    </xf>
    <xf numFmtId="0" fontId="2" fillId="10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vertical="center"/>
    </xf>
    <xf numFmtId="4" fontId="122" fillId="0" borderId="13" xfId="0" applyNumberFormat="1" applyFont="1" applyBorder="1" applyAlignment="1">
      <alignment horizontal="center" vertical="center"/>
    </xf>
    <xf numFmtId="4" fontId="123" fillId="0" borderId="13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171" fontId="2" fillId="0" borderId="13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171" fontId="8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117" fillId="0" borderId="13" xfId="0" applyFont="1" applyBorder="1" applyAlignment="1">
      <alignment horizontal="left" vertical="center" wrapText="1"/>
    </xf>
    <xf numFmtId="171" fontId="93" fillId="0" borderId="0" xfId="0" applyNumberFormat="1" applyFont="1" applyAlignment="1">
      <alignment/>
    </xf>
    <xf numFmtId="0" fontId="2" fillId="0" borderId="31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vertical="center" wrapText="1"/>
    </xf>
    <xf numFmtId="0" fontId="78" fillId="0" borderId="0" xfId="0" applyFont="1" applyAlignment="1">
      <alignment/>
    </xf>
    <xf numFmtId="0" fontId="3" fillId="0" borderId="0" xfId="0" applyFont="1" applyAlignment="1">
      <alignment horizontal="right"/>
    </xf>
    <xf numFmtId="0" fontId="81" fillId="0" borderId="13" xfId="0" applyFont="1" applyBorder="1" applyAlignment="1">
      <alignment horizontal="center" vertical="center"/>
    </xf>
    <xf numFmtId="171" fontId="78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 indent="1"/>
    </xf>
    <xf numFmtId="0" fontId="78" fillId="0" borderId="36" xfId="0" applyFont="1" applyBorder="1" applyAlignment="1">
      <alignment vertical="center"/>
    </xf>
    <xf numFmtId="0" fontId="78" fillId="0" borderId="41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171" fontId="78" fillId="0" borderId="13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171" fontId="78" fillId="106" borderId="13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171" fontId="81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/>
    </xf>
    <xf numFmtId="171" fontId="7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8" fillId="0" borderId="33" xfId="0" applyFont="1" applyBorder="1" applyAlignment="1">
      <alignment/>
    </xf>
    <xf numFmtId="0" fontId="3" fillId="0" borderId="13" xfId="0" applyFont="1" applyBorder="1" applyAlignment="1">
      <alignment vertical="center"/>
    </xf>
    <xf numFmtId="171" fontId="78" fillId="0" borderId="13" xfId="0" applyNumberFormat="1" applyFont="1" applyFill="1" applyBorder="1" applyAlignment="1">
      <alignment vertical="center"/>
    </xf>
    <xf numFmtId="0" fontId="78" fillId="0" borderId="34" xfId="0" applyFont="1" applyBorder="1" applyAlignment="1">
      <alignment vertical="center"/>
    </xf>
    <xf numFmtId="0" fontId="69" fillId="0" borderId="34" xfId="0" applyFont="1" applyBorder="1" applyAlignment="1">
      <alignment horizontal="center" wrapText="1"/>
    </xf>
    <xf numFmtId="0" fontId="69" fillId="0" borderId="36" xfId="0" applyFont="1" applyBorder="1" applyAlignment="1">
      <alignment horizontal="center" wrapText="1"/>
    </xf>
    <xf numFmtId="4" fontId="124" fillId="0" borderId="0" xfId="580" applyNumberFormat="1" applyFont="1" applyFill="1" applyBorder="1">
      <alignment/>
      <protection/>
    </xf>
    <xf numFmtId="4" fontId="4" fillId="106" borderId="34" xfId="0" applyNumberFormat="1" applyFont="1" applyFill="1" applyBorder="1" applyAlignment="1">
      <alignment horizontal="center" vertical="center" wrapText="1"/>
    </xf>
    <xf numFmtId="4" fontId="18" fillId="106" borderId="34" xfId="0" applyNumberFormat="1" applyFont="1" applyFill="1" applyBorder="1" applyAlignment="1">
      <alignment horizontal="center" vertical="center" wrapText="1"/>
    </xf>
    <xf numFmtId="0" fontId="124" fillId="106" borderId="0" xfId="580" applyFont="1" applyFill="1">
      <alignment/>
      <protection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11" fillId="0" borderId="13" xfId="0" applyNumberFormat="1" applyFont="1" applyBorder="1" applyAlignment="1">
      <alignment vertical="top" wrapText="1"/>
    </xf>
    <xf numFmtId="0" fontId="125" fillId="0" borderId="0" xfId="0" applyFont="1" applyAlignment="1">
      <alignment vertical="center"/>
    </xf>
    <xf numFmtId="0" fontId="111" fillId="0" borderId="0" xfId="0" applyFont="1" applyAlignment="1">
      <alignment horizontal="justify" vertical="center"/>
    </xf>
    <xf numFmtId="0" fontId="117" fillId="0" borderId="13" xfId="0" applyFont="1" applyBorder="1" applyAlignment="1">
      <alignment vertical="center" wrapText="1"/>
    </xf>
    <xf numFmtId="0" fontId="117" fillId="0" borderId="13" xfId="0" applyFont="1" applyBorder="1" applyAlignment="1">
      <alignment horizontal="center" vertical="center" wrapText="1"/>
    </xf>
    <xf numFmtId="0" fontId="121" fillId="0" borderId="13" xfId="0" applyFont="1" applyBorder="1" applyAlignment="1">
      <alignment vertical="center" wrapText="1"/>
    </xf>
    <xf numFmtId="0" fontId="121" fillId="0" borderId="13" xfId="0" applyFont="1" applyBorder="1" applyAlignment="1">
      <alignment horizontal="left" vertical="center" wrapText="1" indent="1"/>
    </xf>
    <xf numFmtId="0" fontId="126" fillId="0" borderId="13" xfId="0" applyFont="1" applyBorder="1" applyAlignment="1">
      <alignment vertical="center" wrapText="1"/>
    </xf>
    <xf numFmtId="0" fontId="117" fillId="0" borderId="0" xfId="0" applyFont="1" applyAlignment="1">
      <alignment horizontal="left" vertical="center" indent="11"/>
    </xf>
    <xf numFmtId="0" fontId="111" fillId="0" borderId="0" xfId="0" applyFont="1" applyAlignment="1">
      <alignment vertical="center"/>
    </xf>
    <xf numFmtId="2" fontId="69" fillId="0" borderId="13" xfId="580" applyNumberFormat="1" applyFont="1" applyFill="1" applyBorder="1" applyAlignment="1">
      <alignment horizontal="center"/>
      <protection/>
    </xf>
    <xf numFmtId="171" fontId="69" fillId="0" borderId="13" xfId="0" applyNumberFormat="1" applyFont="1" applyFill="1" applyBorder="1" applyAlignment="1">
      <alignment wrapText="1"/>
    </xf>
    <xf numFmtId="0" fontId="117" fillId="0" borderId="36" xfId="0" applyFont="1" applyBorder="1" applyAlignment="1">
      <alignment vertical="top" wrapText="1"/>
    </xf>
    <xf numFmtId="4" fontId="9" fillId="0" borderId="34" xfId="0" applyNumberFormat="1" applyFont="1" applyBorder="1" applyAlignment="1">
      <alignment horizontal="center" vertical="center" wrapText="1"/>
    </xf>
    <xf numFmtId="4" fontId="41" fillId="0" borderId="34" xfId="0" applyNumberFormat="1" applyFont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top" wrapText="1"/>
    </xf>
    <xf numFmtId="49" fontId="123" fillId="0" borderId="13" xfId="0" applyNumberFormat="1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Border="1" applyAlignment="1">
      <alignment horizontal="center" vertical="center" wrapText="1"/>
    </xf>
    <xf numFmtId="49" fontId="123" fillId="0" borderId="34" xfId="0" applyNumberFormat="1" applyFont="1" applyFill="1" applyBorder="1" applyAlignment="1">
      <alignment horizontal="center" vertical="top" wrapText="1"/>
    </xf>
    <xf numFmtId="4" fontId="41" fillId="0" borderId="3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123" fillId="0" borderId="13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top" wrapText="1"/>
    </xf>
    <xf numFmtId="0" fontId="123" fillId="0" borderId="30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171" fontId="4" fillId="0" borderId="13" xfId="1089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Border="1" applyAlignment="1">
      <alignment horizontal="center" vertical="center"/>
    </xf>
    <xf numFmtId="171" fontId="81" fillId="0" borderId="13" xfId="0" applyNumberFormat="1" applyFont="1" applyFill="1" applyBorder="1" applyAlignment="1">
      <alignment horizontal="center" vertical="center"/>
    </xf>
    <xf numFmtId="0" fontId="111" fillId="0" borderId="0" xfId="606" applyFont="1" applyFill="1" applyBorder="1" applyAlignment="1">
      <alignment horizontal="left" vertical="top" wrapText="1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0" fontId="71" fillId="0" borderId="0" xfId="580" applyFont="1" applyFill="1" applyBorder="1" applyAlignment="1">
      <alignment horizontal="center"/>
      <protection/>
    </xf>
    <xf numFmtId="0" fontId="111" fillId="0" borderId="0" xfId="580" applyFont="1" applyFill="1" applyBorder="1" applyAlignment="1">
      <alignment horizontal="center" vertical="center"/>
      <protection/>
    </xf>
    <xf numFmtId="4" fontId="122" fillId="0" borderId="13" xfId="0" applyNumberFormat="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top" wrapText="1"/>
    </xf>
    <xf numFmtId="4" fontId="67" fillId="0" borderId="13" xfId="580" applyNumberFormat="1" applyFont="1" applyFill="1" applyBorder="1" applyAlignment="1">
      <alignment horizontal="center" vertical="center"/>
      <protection/>
    </xf>
    <xf numFmtId="0" fontId="113" fillId="0" borderId="13" xfId="606" applyFont="1" applyFill="1" applyBorder="1" applyAlignment="1">
      <alignment horizontal="center" wrapText="1"/>
      <protection/>
    </xf>
    <xf numFmtId="4" fontId="82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vertical="center" wrapText="1"/>
      <protection/>
    </xf>
    <xf numFmtId="4" fontId="69" fillId="0" borderId="13" xfId="580" applyNumberFormat="1" applyFont="1" applyFill="1" applyBorder="1" applyAlignment="1">
      <alignment vertical="center"/>
      <protection/>
    </xf>
    <xf numFmtId="4" fontId="82" fillId="0" borderId="13" xfId="580" applyNumberFormat="1" applyFont="1" applyFill="1" applyBorder="1" applyAlignment="1">
      <alignment horizontal="center"/>
      <protection/>
    </xf>
    <xf numFmtId="4" fontId="69" fillId="0" borderId="36" xfId="580" applyNumberFormat="1" applyFont="1" applyFill="1" applyBorder="1" applyAlignment="1">
      <alignment horizontal="center" vertical="center"/>
      <protection/>
    </xf>
    <xf numFmtId="4" fontId="82" fillId="0" borderId="36" xfId="580" applyNumberFormat="1" applyFont="1" applyFill="1" applyBorder="1" applyAlignment="1">
      <alignment horizontal="center" vertical="center"/>
      <protection/>
    </xf>
    <xf numFmtId="49" fontId="71" fillId="0" borderId="0" xfId="580" applyNumberFormat="1" applyFont="1" applyFill="1" applyBorder="1" applyAlignment="1">
      <alignment horizontal="left"/>
      <protection/>
    </xf>
    <xf numFmtId="0" fontId="74" fillId="0" borderId="0" xfId="580" applyNumberFormat="1" applyFont="1" applyFill="1" applyBorder="1" applyAlignment="1">
      <alignment horizontal="center"/>
      <protection/>
    </xf>
    <xf numFmtId="171" fontId="70" fillId="0" borderId="0" xfId="580" applyNumberFormat="1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left" vertical="center" wrapText="1"/>
      <protection/>
    </xf>
    <xf numFmtId="0" fontId="67" fillId="0" borderId="39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/>
      <protection/>
    </xf>
    <xf numFmtId="171" fontId="71" fillId="0" borderId="0" xfId="580" applyNumberFormat="1" applyFont="1" applyFill="1" applyBorder="1" applyAlignment="1">
      <alignment horizontal="center"/>
      <protection/>
    </xf>
    <xf numFmtId="171" fontId="71" fillId="0" borderId="0" xfId="580" applyNumberFormat="1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/>
      <protection/>
    </xf>
    <xf numFmtId="0" fontId="69" fillId="0" borderId="13" xfId="580" applyFont="1" applyFill="1" applyBorder="1" applyAlignment="1">
      <alignment horizontal="left" vertical="center" wrapText="1"/>
      <protection/>
    </xf>
    <xf numFmtId="0" fontId="70" fillId="0" borderId="13" xfId="580" applyFont="1" applyFill="1" applyBorder="1" applyAlignment="1">
      <alignment horizontal="center" vertical="center"/>
      <protection/>
    </xf>
    <xf numFmtId="0" fontId="70" fillId="0" borderId="36" xfId="580" applyFont="1" applyFill="1" applyBorder="1" applyAlignment="1">
      <alignment horizontal="center" vertical="center"/>
      <protection/>
    </xf>
    <xf numFmtId="4" fontId="74" fillId="0" borderId="13" xfId="580" applyNumberFormat="1" applyFont="1" applyFill="1" applyBorder="1" applyAlignment="1">
      <alignment horizontal="center" vertical="center"/>
      <protection/>
    </xf>
    <xf numFmtId="4" fontId="71" fillId="0" borderId="0" xfId="580" applyNumberFormat="1" applyFont="1" applyFill="1" applyBorder="1" applyAlignment="1">
      <alignment horizontal="center"/>
      <protection/>
    </xf>
    <xf numFmtId="4" fontId="127" fillId="0" borderId="0" xfId="580" applyNumberFormat="1" applyFont="1" applyFill="1" applyBorder="1" applyAlignment="1">
      <alignment horizontal="center" vertical="center"/>
      <protection/>
    </xf>
    <xf numFmtId="0" fontId="128" fillId="0" borderId="0" xfId="580" applyFont="1" applyFill="1" applyBorder="1">
      <alignment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1" xfId="580" applyFont="1" applyFill="1" applyBorder="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69" fillId="0" borderId="34" xfId="580" applyFont="1" applyFill="1" applyBorder="1" applyAlignment="1">
      <alignment horizontal="left" vertical="top"/>
      <protection/>
    </xf>
    <xf numFmtId="0" fontId="69" fillId="0" borderId="41" xfId="580" applyFont="1" applyFill="1" applyBorder="1" applyAlignment="1">
      <alignment horizontal="center" vertical="center"/>
      <protection/>
    </xf>
    <xf numFmtId="0" fontId="67" fillId="0" borderId="39" xfId="580" applyFont="1" applyFill="1" applyBorder="1" applyAlignment="1">
      <alignment horizontal="center"/>
      <protection/>
    </xf>
    <xf numFmtId="0" fontId="69" fillId="0" borderId="34" xfId="0" applyFont="1" applyBorder="1" applyAlignment="1">
      <alignment horizontal="center" vertical="center" wrapText="1"/>
    </xf>
    <xf numFmtId="0" fontId="69" fillId="0" borderId="41" xfId="580" applyFont="1" applyFill="1" applyBorder="1" applyAlignment="1">
      <alignment horizontal="left" vertical="top"/>
      <protection/>
    </xf>
    <xf numFmtId="176" fontId="71" fillId="0" borderId="13" xfId="1068" applyNumberFormat="1" applyFont="1" applyFill="1" applyBorder="1" applyAlignment="1">
      <alignment horizontal="center"/>
    </xf>
    <xf numFmtId="171" fontId="71" fillId="0" borderId="13" xfId="0" applyNumberFormat="1" applyFont="1" applyBorder="1" applyAlignment="1">
      <alignment horizontal="center"/>
    </xf>
    <xf numFmtId="171" fontId="71" fillId="0" borderId="13" xfId="0" applyNumberFormat="1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1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43" fontId="69" fillId="0" borderId="0" xfId="580" applyNumberFormat="1" applyFont="1" applyFill="1" applyBorder="1">
      <alignment/>
      <protection/>
    </xf>
    <xf numFmtId="43" fontId="69" fillId="0" borderId="0" xfId="580" applyNumberFormat="1" applyFont="1" applyFill="1" applyBorder="1" applyAlignment="1">
      <alignment horizontal="center"/>
      <protection/>
    </xf>
    <xf numFmtId="0" fontId="67" fillId="0" borderId="0" xfId="0" applyFont="1" applyFill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36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4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29" fillId="0" borderId="33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4" fontId="13" fillId="107" borderId="30" xfId="0" applyNumberFormat="1" applyFont="1" applyFill="1" applyBorder="1" applyAlignment="1">
      <alignment horizontal="center" vertical="center" wrapText="1"/>
    </xf>
    <xf numFmtId="4" fontId="13" fillId="107" borderId="32" xfId="0" applyNumberFormat="1" applyFont="1" applyFill="1" applyBorder="1" applyAlignment="1">
      <alignment horizontal="center" vertical="center" wrapText="1"/>
    </xf>
    <xf numFmtId="4" fontId="13" fillId="107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11" fillId="0" borderId="0" xfId="0" applyFont="1" applyAlignment="1">
      <alignment horizontal="left" wrapText="1"/>
    </xf>
    <xf numFmtId="2" fontId="111" fillId="0" borderId="13" xfId="0" applyNumberFormat="1" applyFont="1" applyBorder="1" applyAlignment="1">
      <alignment vertical="top" wrapText="1"/>
    </xf>
    <xf numFmtId="2" fontId="111" fillId="0" borderId="13" xfId="0" applyNumberFormat="1" applyFont="1" applyBorder="1" applyAlignment="1">
      <alignment wrapText="1"/>
    </xf>
    <xf numFmtId="0" fontId="111" fillId="0" borderId="13" xfId="0" applyFont="1" applyBorder="1" applyAlignment="1">
      <alignment vertical="top" wrapText="1"/>
    </xf>
    <xf numFmtId="0" fontId="111" fillId="0" borderId="13" xfId="0" applyFont="1" applyBorder="1" applyAlignment="1">
      <alignment horizontal="center" wrapText="1"/>
    </xf>
    <xf numFmtId="2" fontId="111" fillId="0" borderId="13" xfId="0" applyNumberFormat="1" applyFont="1" applyFill="1" applyBorder="1" applyAlignment="1">
      <alignment wrapText="1"/>
    </xf>
    <xf numFmtId="0" fontId="111" fillId="0" borderId="13" xfId="0" applyFont="1" applyFill="1" applyBorder="1" applyAlignment="1">
      <alignment wrapText="1"/>
    </xf>
    <xf numFmtId="0" fontId="111" fillId="0" borderId="13" xfId="0" applyFont="1" applyBorder="1" applyAlignment="1">
      <alignment wrapText="1"/>
    </xf>
    <xf numFmtId="0" fontId="111" fillId="0" borderId="13" xfId="0" applyFont="1" applyBorder="1" applyAlignment="1">
      <alignment horizontal="center" vertical="top" wrapText="1"/>
    </xf>
    <xf numFmtId="0" fontId="111" fillId="0" borderId="31" xfId="0" applyFont="1" applyBorder="1" applyAlignment="1">
      <alignment vertical="top" wrapText="1"/>
    </xf>
    <xf numFmtId="49" fontId="111" fillId="0" borderId="34" xfId="0" applyNumberFormat="1" applyFont="1" applyBorder="1" applyAlignment="1">
      <alignment horizontal="center" wrapText="1"/>
    </xf>
    <xf numFmtId="0" fontId="111" fillId="0" borderId="35" xfId="0" applyFont="1" applyBorder="1" applyAlignment="1">
      <alignment horizontal="center" vertical="top" wrapText="1"/>
    </xf>
    <xf numFmtId="0" fontId="111" fillId="0" borderId="42" xfId="0" applyFont="1" applyBorder="1" applyAlignment="1">
      <alignment horizontal="center" vertical="top" wrapText="1"/>
    </xf>
    <xf numFmtId="0" fontId="111" fillId="0" borderId="43" xfId="0" applyFont="1" applyBorder="1" applyAlignment="1">
      <alignment horizontal="center" vertical="top" wrapText="1"/>
    </xf>
    <xf numFmtId="0" fontId="111" fillId="0" borderId="39" xfId="0" applyFont="1" applyBorder="1" applyAlignment="1">
      <alignment horizontal="center" vertical="top" wrapText="1"/>
    </xf>
    <xf numFmtId="0" fontId="111" fillId="0" borderId="33" xfId="0" applyFont="1" applyBorder="1" applyAlignment="1">
      <alignment horizontal="center" vertical="top" wrapText="1"/>
    </xf>
    <xf numFmtId="0" fontId="111" fillId="0" borderId="38" xfId="0" applyFont="1" applyBorder="1" applyAlignment="1">
      <alignment horizontal="center" vertical="top" wrapText="1"/>
    </xf>
    <xf numFmtId="0" fontId="130" fillId="0" borderId="0" xfId="0" applyFont="1" applyAlignment="1">
      <alignment horizontal="left" wrapText="1"/>
    </xf>
    <xf numFmtId="49" fontId="111" fillId="0" borderId="13" xfId="0" applyNumberFormat="1" applyFont="1" applyBorder="1" applyAlignment="1">
      <alignment horizontal="center" vertical="top" wrapText="1"/>
    </xf>
    <xf numFmtId="0" fontId="69" fillId="0" borderId="36" xfId="580" applyFont="1" applyFill="1" applyBorder="1" applyAlignment="1">
      <alignment horizontal="left"/>
      <protection/>
    </xf>
    <xf numFmtId="0" fontId="69" fillId="0" borderId="41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36" xfId="580" applyFont="1" applyFill="1" applyBorder="1" applyAlignment="1">
      <alignment horizontal="left" wrapText="1"/>
      <protection/>
    </xf>
    <xf numFmtId="0" fontId="69" fillId="0" borderId="34" xfId="580" applyFont="1" applyFill="1" applyBorder="1" applyAlignment="1">
      <alignment horizontal="left" wrapText="1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71" fillId="0" borderId="13" xfId="580" applyFont="1" applyBorder="1" applyAlignment="1">
      <alignment horizontal="left" vertical="center"/>
      <protection/>
    </xf>
    <xf numFmtId="0" fontId="71" fillId="0" borderId="36" xfId="580" applyFont="1" applyBorder="1" applyAlignment="1">
      <alignment horizontal="left" vertical="center"/>
      <protection/>
    </xf>
    <xf numFmtId="0" fontId="71" fillId="0" borderId="41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11" fillId="0" borderId="0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71" fillId="0" borderId="36" xfId="580" applyFont="1" applyFill="1" applyBorder="1" applyAlignment="1">
      <alignment horizontal="left"/>
      <protection/>
    </xf>
    <xf numFmtId="0" fontId="71" fillId="0" borderId="41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69" fillId="0" borderId="13" xfId="0" applyFont="1" applyBorder="1" applyAlignment="1">
      <alignment horizontal="center"/>
    </xf>
    <xf numFmtId="0" fontId="69" fillId="0" borderId="0" xfId="580" applyFont="1" applyFill="1" applyBorder="1" applyAlignment="1">
      <alignment horizontal="justify" vertical="center" wrapText="1"/>
      <protection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41" xfId="580" applyFont="1" applyFill="1" applyBorder="1" applyAlignment="1">
      <alignment horizontal="center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wrapText="1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71" fillId="0" borderId="0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Border="1" applyAlignment="1">
      <alignment horizontal="left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49" fontId="69" fillId="0" borderId="41" xfId="580" applyNumberFormat="1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1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71" fillId="0" borderId="36" xfId="580" applyNumberFormat="1" applyFont="1" applyFill="1" applyBorder="1" applyAlignment="1">
      <alignment horizontal="center" vertical="center"/>
      <protection/>
    </xf>
    <xf numFmtId="49" fontId="71" fillId="0" borderId="41" xfId="580" applyNumberFormat="1" applyFont="1" applyFill="1" applyBorder="1" applyAlignment="1">
      <alignment horizontal="center" vertical="center"/>
      <protection/>
    </xf>
    <xf numFmtId="49" fontId="71" fillId="0" borderId="34" xfId="580" applyNumberFormat="1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1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1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1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71" fillId="0" borderId="0" xfId="580" applyFont="1" applyFill="1" applyAlignment="1">
      <alignment horizontal="left"/>
      <protection/>
    </xf>
    <xf numFmtId="0" fontId="111" fillId="0" borderId="0" xfId="606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left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1" xfId="580" applyNumberFormat="1" applyFont="1" applyFill="1" applyBorder="1" applyAlignment="1">
      <alignment horizontal="center" vertical="center" wrapText="1"/>
      <protection/>
    </xf>
    <xf numFmtId="0" fontId="113" fillId="0" borderId="36" xfId="606" applyFont="1" applyFill="1" applyBorder="1" applyAlignment="1">
      <alignment horizontal="left" vertical="top" wrapText="1"/>
      <protection/>
    </xf>
    <xf numFmtId="0" fontId="113" fillId="0" borderId="34" xfId="606" applyFont="1" applyFill="1" applyBorder="1" applyAlignment="1">
      <alignment horizontal="left" vertical="top" wrapText="1"/>
      <protection/>
    </xf>
    <xf numFmtId="0" fontId="111" fillId="0" borderId="0" xfId="606" applyFont="1" applyFill="1" applyBorder="1" applyAlignment="1">
      <alignment horizontal="justify" vertical="top" wrapText="1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1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11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69" fillId="0" borderId="41" xfId="580" applyNumberFormat="1" applyFont="1" applyFill="1" applyBorder="1" applyAlignment="1">
      <alignment horizontal="left" vertical="center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1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71" fillId="0" borderId="13" xfId="580" applyFont="1" applyFill="1" applyBorder="1" applyAlignment="1">
      <alignment horizontal="left" vertical="top"/>
      <protection/>
    </xf>
    <xf numFmtId="2" fontId="71" fillId="0" borderId="13" xfId="580" applyNumberFormat="1" applyFont="1" applyFill="1" applyBorder="1" applyAlignment="1">
      <alignment horizontal="left" vertical="center" wrapText="1"/>
      <protection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49" fontId="70" fillId="0" borderId="36" xfId="580" applyNumberFormat="1" applyFont="1" applyFill="1" applyBorder="1" applyAlignment="1">
      <alignment horizontal="left" vertical="center"/>
      <protection/>
    </xf>
    <xf numFmtId="49" fontId="70" fillId="0" borderId="34" xfId="580" applyNumberFormat="1" applyFont="1" applyFill="1" applyBorder="1" applyAlignment="1">
      <alignment horizontal="left" vertical="center"/>
      <protection/>
    </xf>
    <xf numFmtId="2" fontId="69" fillId="0" borderId="13" xfId="580" applyNumberFormat="1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113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21" fillId="0" borderId="13" xfId="0" applyFont="1" applyBorder="1" applyAlignment="1">
      <alignment horizontal="center" vertical="center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view="pageBreakPreview" zoomScale="110" zoomScaleSheetLayoutView="110" zoomScalePageLayoutView="0" workbookViewId="0" topLeftCell="A1">
      <selection activeCell="A1" sqref="A1:H16384"/>
    </sheetView>
  </sheetViews>
  <sheetFormatPr defaultColWidth="9.140625" defaultRowHeight="15"/>
  <cols>
    <col min="1" max="1" width="13.140625" style="0" customWidth="1"/>
    <col min="2" max="2" width="18.140625" style="15" customWidth="1"/>
    <col min="3" max="3" width="14.7109375" style="15" customWidth="1"/>
    <col min="4" max="4" width="41.57421875" style="15" customWidth="1"/>
    <col min="5" max="5" width="6.140625" style="15" customWidth="1"/>
    <col min="6" max="6" width="16.421875" style="15" customWidth="1"/>
    <col min="7" max="8" width="13.421875" style="15" customWidth="1"/>
  </cols>
  <sheetData>
    <row r="1" spans="1:8" ht="11.25" customHeight="1">
      <c r="A1" s="11"/>
      <c r="F1" s="581" t="s">
        <v>31</v>
      </c>
      <c r="G1" s="581"/>
      <c r="H1" s="581"/>
    </row>
    <row r="2" spans="1:8" ht="11.25" customHeight="1">
      <c r="A2" s="11"/>
      <c r="F2" s="581" t="s">
        <v>29</v>
      </c>
      <c r="G2" s="581"/>
      <c r="H2" s="581"/>
    </row>
    <row r="3" spans="1:8" ht="11.25" customHeight="1">
      <c r="A3" s="12"/>
      <c r="F3" s="581" t="s">
        <v>27</v>
      </c>
      <c r="G3" s="581"/>
      <c r="H3" s="581"/>
    </row>
    <row r="4" spans="1:8" ht="11.25" customHeight="1">
      <c r="A4" s="12"/>
      <c r="F4" s="581" t="s">
        <v>14</v>
      </c>
      <c r="G4" s="581"/>
      <c r="H4" s="581"/>
    </row>
    <row r="5" spans="1:9" ht="27.75" customHeight="1">
      <c r="A5" s="89"/>
      <c r="B5" s="89"/>
      <c r="C5" s="89"/>
      <c r="D5" s="577"/>
      <c r="E5" s="577"/>
      <c r="F5" s="577"/>
      <c r="G5" s="577"/>
      <c r="H5" s="1"/>
      <c r="I5" s="7"/>
    </row>
    <row r="6" spans="1:9" ht="15" customHeight="1">
      <c r="A6" s="89"/>
      <c r="B6" s="89"/>
      <c r="C6" s="89"/>
      <c r="D6" s="90"/>
      <c r="E6" s="579" t="s">
        <v>15</v>
      </c>
      <c r="F6" s="579"/>
      <c r="G6" s="579"/>
      <c r="H6" s="579"/>
      <c r="I6" s="7"/>
    </row>
    <row r="7" spans="1:9" ht="15.75">
      <c r="A7" s="89"/>
      <c r="B7" s="89"/>
      <c r="C7" s="89"/>
      <c r="D7" s="90"/>
      <c r="E7" s="587" t="s">
        <v>486</v>
      </c>
      <c r="F7" s="587"/>
      <c r="G7" s="587"/>
      <c r="H7" s="587"/>
      <c r="I7" s="7"/>
    </row>
    <row r="8" spans="1:9" ht="15" customHeight="1">
      <c r="A8" s="90"/>
      <c r="B8" s="90"/>
      <c r="C8" s="90"/>
      <c r="D8" s="90"/>
      <c r="E8" s="582" t="s">
        <v>16</v>
      </c>
      <c r="F8" s="582"/>
      <c r="G8" s="582"/>
      <c r="H8" s="582"/>
      <c r="I8" s="588"/>
    </row>
    <row r="9" spans="1:9" ht="15" customHeight="1">
      <c r="A9" s="90"/>
      <c r="B9" s="90"/>
      <c r="C9" s="90"/>
      <c r="D9" s="90"/>
      <c r="E9" s="92"/>
      <c r="F9" s="92"/>
      <c r="G9" s="587" t="s">
        <v>487</v>
      </c>
      <c r="H9" s="587"/>
      <c r="I9" s="588"/>
    </row>
    <row r="10" spans="1:9" ht="16.5" customHeight="1">
      <c r="A10" s="89"/>
      <c r="B10" s="89"/>
      <c r="C10" s="89"/>
      <c r="D10" s="90"/>
      <c r="E10" s="582" t="s">
        <v>11</v>
      </c>
      <c r="F10" s="582"/>
      <c r="G10" s="583" t="s">
        <v>12</v>
      </c>
      <c r="H10" s="583"/>
      <c r="I10" s="7"/>
    </row>
    <row r="11" spans="1:9" ht="22.5" customHeight="1">
      <c r="A11" s="89"/>
      <c r="B11" s="89"/>
      <c r="C11" s="89"/>
      <c r="D11" s="90"/>
      <c r="E11" s="579" t="s">
        <v>764</v>
      </c>
      <c r="F11" s="579"/>
      <c r="G11" s="579"/>
      <c r="H11" s="579"/>
      <c r="I11" s="4"/>
    </row>
    <row r="12" spans="1:9" ht="17.25" customHeight="1">
      <c r="A12" s="573" t="s">
        <v>17</v>
      </c>
      <c r="B12" s="573"/>
      <c r="C12" s="573"/>
      <c r="D12" s="573"/>
      <c r="E12" s="573"/>
      <c r="F12" s="573"/>
      <c r="G12" s="573"/>
      <c r="H12" s="573"/>
      <c r="I12" s="589"/>
    </row>
    <row r="13" spans="1:9" ht="15" customHeight="1">
      <c r="A13" s="573" t="s">
        <v>394</v>
      </c>
      <c r="B13" s="573"/>
      <c r="C13" s="573"/>
      <c r="D13" s="573"/>
      <c r="E13" s="573"/>
      <c r="F13" s="573"/>
      <c r="G13" s="573"/>
      <c r="H13" s="573"/>
      <c r="I13" s="589"/>
    </row>
    <row r="14" spans="1:9" ht="15" customHeight="1">
      <c r="A14" s="573" t="s">
        <v>433</v>
      </c>
      <c r="B14" s="573"/>
      <c r="C14" s="573"/>
      <c r="D14" s="573"/>
      <c r="E14" s="573"/>
      <c r="F14" s="573"/>
      <c r="G14" s="573"/>
      <c r="H14" s="573"/>
      <c r="I14" s="589"/>
    </row>
    <row r="15" spans="1:9" ht="12" customHeight="1">
      <c r="A15" s="573"/>
      <c r="B15" s="573"/>
      <c r="C15" s="573"/>
      <c r="D15" s="573"/>
      <c r="E15" s="573"/>
      <c r="F15" s="573"/>
      <c r="G15" s="573"/>
      <c r="H15" s="573"/>
      <c r="I15" s="589"/>
    </row>
    <row r="16" spans="1:9" ht="18.75" customHeight="1">
      <c r="A16" s="2"/>
      <c r="B16" s="2"/>
      <c r="C16" s="2"/>
      <c r="D16" s="181">
        <v>43644</v>
      </c>
      <c r="E16" s="573"/>
      <c r="F16" s="592"/>
      <c r="G16" s="593" t="s">
        <v>18</v>
      </c>
      <c r="H16" s="593"/>
      <c r="I16" s="3"/>
    </row>
    <row r="17" spans="1:9" ht="27.75" customHeight="1">
      <c r="A17" s="2"/>
      <c r="B17" s="2"/>
      <c r="C17" s="2"/>
      <c r="D17" s="2"/>
      <c r="E17" s="585" t="s">
        <v>28</v>
      </c>
      <c r="F17" s="586"/>
      <c r="G17" s="595"/>
      <c r="H17" s="596"/>
      <c r="I17" s="14"/>
    </row>
    <row r="18" spans="1:9" ht="17.25" customHeight="1">
      <c r="A18" s="93"/>
      <c r="B18" s="2"/>
      <c r="C18" s="2"/>
      <c r="D18" s="2"/>
      <c r="E18" s="585" t="s">
        <v>431</v>
      </c>
      <c r="F18" s="586"/>
      <c r="G18" s="594">
        <f>D16</f>
        <v>43644</v>
      </c>
      <c r="H18" s="594"/>
      <c r="I18" s="4"/>
    </row>
    <row r="19" spans="1:9" ht="17.25" customHeight="1">
      <c r="A19" s="90"/>
      <c r="B19" s="89"/>
      <c r="C19" s="90"/>
      <c r="D19" s="1"/>
      <c r="E19" s="585" t="s">
        <v>19</v>
      </c>
      <c r="F19" s="586"/>
      <c r="G19" s="597" t="s">
        <v>490</v>
      </c>
      <c r="H19" s="598"/>
      <c r="I19" s="13"/>
    </row>
    <row r="20" spans="1:9" ht="30.75" customHeight="1">
      <c r="A20" s="90"/>
      <c r="B20" s="89"/>
      <c r="C20" s="90"/>
      <c r="D20" s="1"/>
      <c r="E20" s="6"/>
      <c r="F20" s="5" t="s">
        <v>395</v>
      </c>
      <c r="G20" s="590"/>
      <c r="H20" s="591"/>
      <c r="I20" s="13"/>
    </row>
    <row r="21" spans="1:9" ht="30.75" customHeight="1">
      <c r="A21" s="90"/>
      <c r="B21" s="89"/>
      <c r="C21" s="90"/>
      <c r="D21" s="1"/>
      <c r="E21" s="6"/>
      <c r="F21" s="5" t="s">
        <v>396</v>
      </c>
      <c r="G21" s="590"/>
      <c r="H21" s="591"/>
      <c r="I21" s="13"/>
    </row>
    <row r="22" spans="1:9" ht="17.25" customHeight="1">
      <c r="A22" s="90"/>
      <c r="B22" s="89"/>
      <c r="C22" s="90"/>
      <c r="D22" s="1"/>
      <c r="E22" s="585" t="s">
        <v>20</v>
      </c>
      <c r="F22" s="586"/>
      <c r="G22" s="574">
        <v>383</v>
      </c>
      <c r="H22" s="574"/>
      <c r="I22" s="13"/>
    </row>
    <row r="23" spans="1:9" ht="30.75" customHeight="1">
      <c r="A23" s="575" t="s">
        <v>488</v>
      </c>
      <c r="B23" s="575"/>
      <c r="C23" s="575"/>
      <c r="D23" s="575"/>
      <c r="E23" s="575"/>
      <c r="F23" s="575"/>
      <c r="G23" s="575"/>
      <c r="H23" s="575"/>
      <c r="I23" s="13"/>
    </row>
    <row r="24" spans="1:9" ht="9" customHeight="1">
      <c r="A24" s="90"/>
      <c r="B24" s="90"/>
      <c r="C24" s="90"/>
      <c r="D24" s="90"/>
      <c r="E24" s="90"/>
      <c r="F24" s="90"/>
      <c r="G24" s="90"/>
      <c r="H24" s="90"/>
      <c r="I24" s="13"/>
    </row>
    <row r="25" spans="1:9" ht="15" customHeight="1">
      <c r="A25" s="90" t="s">
        <v>30</v>
      </c>
      <c r="B25" s="576" t="s">
        <v>489</v>
      </c>
      <c r="C25" s="576"/>
      <c r="D25" s="576"/>
      <c r="E25" s="90"/>
      <c r="F25" s="90"/>
      <c r="G25" s="90"/>
      <c r="H25" s="90"/>
      <c r="I25" s="7"/>
    </row>
    <row r="26" spans="1:9" s="83" customFormat="1" ht="17.25" customHeight="1">
      <c r="A26" s="567" t="s">
        <v>430</v>
      </c>
      <c r="B26" s="567"/>
      <c r="C26" s="567"/>
      <c r="D26" s="567"/>
      <c r="E26" s="567"/>
      <c r="F26" s="567"/>
      <c r="G26" s="567"/>
      <c r="H26" s="567"/>
      <c r="I26" s="82"/>
    </row>
    <row r="27" spans="1:9" s="83" customFormat="1" ht="17.25" customHeight="1">
      <c r="A27" s="567" t="s">
        <v>515</v>
      </c>
      <c r="B27" s="567"/>
      <c r="C27" s="567"/>
      <c r="D27" s="567"/>
      <c r="E27" s="567"/>
      <c r="F27" s="567"/>
      <c r="G27" s="567"/>
      <c r="H27" s="567"/>
      <c r="I27" s="82"/>
    </row>
    <row r="28" spans="1:9" ht="15.75" customHeight="1">
      <c r="A28" s="579" t="s">
        <v>21</v>
      </c>
      <c r="B28" s="579"/>
      <c r="C28" s="90"/>
      <c r="D28" s="1"/>
      <c r="E28" s="577"/>
      <c r="F28" s="577"/>
      <c r="G28" s="575"/>
      <c r="H28" s="575"/>
      <c r="I28" s="13"/>
    </row>
    <row r="29" spans="1:9" ht="21" customHeight="1">
      <c r="A29" s="579" t="s">
        <v>22</v>
      </c>
      <c r="B29" s="579"/>
      <c r="C29" s="579"/>
      <c r="D29" s="579"/>
      <c r="E29" s="579"/>
      <c r="F29" s="579"/>
      <c r="G29" s="94"/>
      <c r="H29" s="94"/>
      <c r="I29" s="4"/>
    </row>
    <row r="30" spans="1:9" ht="15" customHeight="1">
      <c r="A30" s="584" t="s">
        <v>23</v>
      </c>
      <c r="B30" s="584"/>
      <c r="C30" s="584"/>
      <c r="D30" s="584"/>
      <c r="E30" s="584"/>
      <c r="F30" s="584"/>
      <c r="G30" s="95"/>
      <c r="H30" s="94"/>
      <c r="I30" s="4"/>
    </row>
    <row r="31" spans="1:8" ht="0.75" customHeight="1">
      <c r="A31" s="96"/>
      <c r="B31" s="97"/>
      <c r="C31" s="97"/>
      <c r="D31" s="97"/>
      <c r="E31" s="97"/>
      <c r="F31" s="97"/>
      <c r="G31" s="97"/>
      <c r="H31" s="97"/>
    </row>
    <row r="32" spans="1:8" ht="39" customHeight="1">
      <c r="A32" s="579" t="s">
        <v>132</v>
      </c>
      <c r="B32" s="579"/>
      <c r="C32" s="579"/>
      <c r="D32" s="569" t="s">
        <v>491</v>
      </c>
      <c r="E32" s="569"/>
      <c r="F32" s="569"/>
      <c r="G32" s="569"/>
      <c r="H32" s="97"/>
    </row>
    <row r="33" spans="1:8" ht="18" customHeight="1">
      <c r="A33" s="91"/>
      <c r="B33" s="91"/>
      <c r="C33" s="91"/>
      <c r="D33" s="98"/>
      <c r="E33" s="98"/>
      <c r="F33" s="98"/>
      <c r="G33" s="98"/>
      <c r="H33" s="97"/>
    </row>
    <row r="34" spans="1:8" ht="15" customHeight="1">
      <c r="A34" s="568" t="s">
        <v>24</v>
      </c>
      <c r="B34" s="568"/>
      <c r="C34" s="568"/>
      <c r="D34" s="568"/>
      <c r="E34" s="568"/>
      <c r="F34" s="568"/>
      <c r="G34" s="568"/>
      <c r="H34" s="568"/>
    </row>
    <row r="35" spans="1:8" ht="16.5" customHeight="1">
      <c r="A35" s="580" t="s">
        <v>25</v>
      </c>
      <c r="B35" s="580"/>
      <c r="C35" s="580"/>
      <c r="D35" s="580"/>
      <c r="E35" s="99"/>
      <c r="F35" s="99"/>
      <c r="G35" s="99"/>
      <c r="H35" s="99"/>
    </row>
    <row r="36" spans="1:8" ht="28.5" customHeight="1">
      <c r="A36" s="578" t="s">
        <v>492</v>
      </c>
      <c r="B36" s="578"/>
      <c r="C36" s="578"/>
      <c r="D36" s="578"/>
      <c r="E36" s="578"/>
      <c r="F36" s="578"/>
      <c r="G36" s="578"/>
      <c r="H36" s="578"/>
    </row>
    <row r="37" spans="1:8" ht="19.5" customHeight="1">
      <c r="A37" s="580" t="s">
        <v>26</v>
      </c>
      <c r="B37" s="580"/>
      <c r="C37" s="580"/>
      <c r="D37" s="580"/>
      <c r="E37" s="99"/>
      <c r="F37" s="99"/>
      <c r="G37" s="99"/>
      <c r="H37" s="99"/>
    </row>
    <row r="38" spans="1:7" s="100" customFormat="1" ht="18" customHeight="1">
      <c r="A38" s="563" t="s">
        <v>493</v>
      </c>
      <c r="B38" s="563"/>
      <c r="C38" s="563"/>
      <c r="D38" s="563"/>
      <c r="E38" s="563" t="s">
        <v>494</v>
      </c>
      <c r="F38" s="563"/>
      <c r="G38" s="563"/>
    </row>
    <row r="39" spans="1:7" s="100" customFormat="1" ht="18" customHeight="1">
      <c r="A39" s="564" t="s">
        <v>962</v>
      </c>
      <c r="B39" s="565"/>
      <c r="C39" s="565"/>
      <c r="D39" s="566"/>
      <c r="E39" s="564"/>
      <c r="F39" s="565"/>
      <c r="G39" s="566"/>
    </row>
    <row r="40" spans="1:7" s="100" customFormat="1" ht="18" customHeight="1">
      <c r="A40" s="563" t="s">
        <v>495</v>
      </c>
      <c r="B40" s="563"/>
      <c r="C40" s="563"/>
      <c r="D40" s="563"/>
      <c r="E40" s="563" t="s">
        <v>496</v>
      </c>
      <c r="F40" s="563"/>
      <c r="G40" s="563"/>
    </row>
    <row r="41" spans="1:7" s="100" customFormat="1" ht="18" customHeight="1">
      <c r="A41" s="563" t="s">
        <v>497</v>
      </c>
      <c r="B41" s="563"/>
      <c r="C41" s="563"/>
      <c r="D41" s="563"/>
      <c r="E41" s="563" t="s">
        <v>498</v>
      </c>
      <c r="F41" s="563"/>
      <c r="G41" s="563"/>
    </row>
    <row r="42" spans="1:7" s="100" customFormat="1" ht="18" customHeight="1">
      <c r="A42" s="563" t="s">
        <v>499</v>
      </c>
      <c r="B42" s="563"/>
      <c r="C42" s="563"/>
      <c r="D42" s="563"/>
      <c r="E42" s="563" t="s">
        <v>500</v>
      </c>
      <c r="F42" s="563"/>
      <c r="G42" s="563"/>
    </row>
    <row r="43" spans="1:7" s="100" customFormat="1" ht="18" customHeight="1">
      <c r="A43" s="563" t="s">
        <v>510</v>
      </c>
      <c r="B43" s="563"/>
      <c r="C43" s="563"/>
      <c r="D43" s="563"/>
      <c r="E43" s="563" t="s">
        <v>501</v>
      </c>
      <c r="F43" s="563"/>
      <c r="G43" s="563"/>
    </row>
    <row r="44" spans="1:7" s="100" customFormat="1" ht="18" customHeight="1">
      <c r="A44" s="563" t="s">
        <v>502</v>
      </c>
      <c r="B44" s="563"/>
      <c r="C44" s="563"/>
      <c r="D44" s="563"/>
      <c r="E44" s="563" t="s">
        <v>503</v>
      </c>
      <c r="F44" s="563"/>
      <c r="G44" s="563"/>
    </row>
    <row r="45" spans="1:7" s="100" customFormat="1" ht="32.25" customHeight="1">
      <c r="A45" s="563" t="s">
        <v>504</v>
      </c>
      <c r="B45" s="563"/>
      <c r="C45" s="563"/>
      <c r="D45" s="563"/>
      <c r="E45" s="563" t="s">
        <v>505</v>
      </c>
      <c r="F45" s="563"/>
      <c r="G45" s="563"/>
    </row>
    <row r="46" spans="1:7" s="100" customFormat="1" ht="18" customHeight="1">
      <c r="A46" s="563" t="s">
        <v>506</v>
      </c>
      <c r="B46" s="563"/>
      <c r="C46" s="563"/>
      <c r="D46" s="563"/>
      <c r="E46" s="563" t="s">
        <v>507</v>
      </c>
      <c r="F46" s="563"/>
      <c r="G46" s="563"/>
    </row>
    <row r="47" spans="1:7" s="100" customFormat="1" ht="18" customHeight="1">
      <c r="A47" s="563" t="s">
        <v>508</v>
      </c>
      <c r="B47" s="563"/>
      <c r="C47" s="563"/>
      <c r="D47" s="563"/>
      <c r="E47" s="563" t="s">
        <v>509</v>
      </c>
      <c r="F47" s="563"/>
      <c r="G47" s="563"/>
    </row>
    <row r="48" spans="1:8" s="17" customFormat="1" ht="30.75" customHeight="1">
      <c r="A48" s="599" t="s">
        <v>135</v>
      </c>
      <c r="B48" s="599"/>
      <c r="C48" s="599"/>
      <c r="D48" s="599"/>
      <c r="E48" s="599"/>
      <c r="F48" s="599"/>
      <c r="G48" s="599"/>
      <c r="H48" s="599"/>
    </row>
    <row r="49" spans="1:7" s="100" customFormat="1" ht="18" customHeight="1">
      <c r="A49" s="562" t="s">
        <v>511</v>
      </c>
      <c r="B49" s="562"/>
      <c r="C49" s="562"/>
      <c r="D49" s="562"/>
      <c r="E49" s="562"/>
      <c r="F49" s="562"/>
      <c r="G49" s="562"/>
    </row>
    <row r="50" spans="1:7" s="100" customFormat="1" ht="18" customHeight="1">
      <c r="A50" s="562" t="s">
        <v>512</v>
      </c>
      <c r="B50" s="562"/>
      <c r="C50" s="562"/>
      <c r="D50" s="562"/>
      <c r="E50" s="562"/>
      <c r="F50" s="562"/>
      <c r="G50" s="562"/>
    </row>
    <row r="51" spans="1:7" s="100" customFormat="1" ht="18" customHeight="1">
      <c r="A51" s="562" t="s">
        <v>513</v>
      </c>
      <c r="B51" s="562"/>
      <c r="C51" s="562"/>
      <c r="D51" s="562"/>
      <c r="E51" s="562"/>
      <c r="F51" s="562"/>
      <c r="G51" s="562"/>
    </row>
    <row r="52" spans="1:7" s="100" customFormat="1" ht="18" customHeight="1">
      <c r="A52" s="562" t="s">
        <v>514</v>
      </c>
      <c r="B52" s="562"/>
      <c r="C52" s="562"/>
      <c r="D52" s="562"/>
      <c r="E52" s="562"/>
      <c r="F52" s="562"/>
      <c r="G52" s="562"/>
    </row>
    <row r="53" spans="1:256" s="17" customFormat="1" ht="19.5" customHeight="1">
      <c r="A53" s="572" t="s">
        <v>537</v>
      </c>
      <c r="B53" s="572"/>
      <c r="C53" s="572"/>
      <c r="D53" s="572"/>
      <c r="E53" s="572"/>
      <c r="F53" s="572"/>
      <c r="G53" s="572"/>
      <c r="H53" s="572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  <c r="AU53" s="571"/>
      <c r="AV53" s="571"/>
      <c r="AW53" s="571"/>
      <c r="AX53" s="571"/>
      <c r="AY53" s="571"/>
      <c r="AZ53" s="571"/>
      <c r="BA53" s="571"/>
      <c r="BB53" s="571"/>
      <c r="BC53" s="571"/>
      <c r="BD53" s="571"/>
      <c r="BE53" s="571"/>
      <c r="BF53" s="571"/>
      <c r="BG53" s="571"/>
      <c r="BH53" s="571"/>
      <c r="BI53" s="571"/>
      <c r="BJ53" s="571"/>
      <c r="BK53" s="571"/>
      <c r="BL53" s="571"/>
      <c r="BM53" s="571"/>
      <c r="BN53" s="571"/>
      <c r="BO53" s="571"/>
      <c r="BP53" s="571"/>
      <c r="BQ53" s="571"/>
      <c r="BR53" s="571"/>
      <c r="BS53" s="571"/>
      <c r="BT53" s="571"/>
      <c r="BU53" s="571"/>
      <c r="BV53" s="571"/>
      <c r="BW53" s="571"/>
      <c r="BX53" s="571"/>
      <c r="BY53" s="571"/>
      <c r="BZ53" s="571"/>
      <c r="CA53" s="571"/>
      <c r="CB53" s="571"/>
      <c r="CC53" s="571"/>
      <c r="CD53" s="571"/>
      <c r="CE53" s="571"/>
      <c r="CF53" s="571"/>
      <c r="CG53" s="571"/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1"/>
      <c r="CZ53" s="571"/>
      <c r="DA53" s="571"/>
      <c r="DB53" s="571"/>
      <c r="DC53" s="571"/>
      <c r="DD53" s="571"/>
      <c r="DE53" s="571"/>
      <c r="DF53" s="571"/>
      <c r="DG53" s="571"/>
      <c r="DH53" s="571"/>
      <c r="DI53" s="571"/>
      <c r="DJ53" s="571"/>
      <c r="DK53" s="571"/>
      <c r="DL53" s="571"/>
      <c r="DM53" s="571"/>
      <c r="DN53" s="571"/>
      <c r="DO53" s="571"/>
      <c r="DP53" s="571"/>
      <c r="DQ53" s="571"/>
      <c r="DR53" s="571"/>
      <c r="DS53" s="571"/>
      <c r="DT53" s="571"/>
      <c r="DU53" s="571"/>
      <c r="DV53" s="571"/>
      <c r="DW53" s="571"/>
      <c r="DX53" s="571"/>
      <c r="DY53" s="571"/>
      <c r="DZ53" s="571"/>
      <c r="EA53" s="571"/>
      <c r="EB53" s="571"/>
      <c r="EC53" s="571"/>
      <c r="ED53" s="571"/>
      <c r="EE53" s="571"/>
      <c r="EF53" s="571"/>
      <c r="EG53" s="571"/>
      <c r="EH53" s="571"/>
      <c r="EI53" s="571"/>
      <c r="EJ53" s="571"/>
      <c r="EK53" s="571"/>
      <c r="EL53" s="571"/>
      <c r="EM53" s="571"/>
      <c r="EN53" s="571"/>
      <c r="EO53" s="571"/>
      <c r="EP53" s="571"/>
      <c r="EQ53" s="571"/>
      <c r="ER53" s="571"/>
      <c r="ES53" s="571"/>
      <c r="ET53" s="571"/>
      <c r="EU53" s="571"/>
      <c r="EV53" s="571"/>
      <c r="EW53" s="571"/>
      <c r="EX53" s="571"/>
      <c r="EY53" s="571"/>
      <c r="EZ53" s="571"/>
      <c r="FA53" s="571"/>
      <c r="FB53" s="571"/>
      <c r="FC53" s="571"/>
      <c r="FD53" s="571"/>
      <c r="FE53" s="571"/>
      <c r="FF53" s="571"/>
      <c r="FG53" s="571"/>
      <c r="FH53" s="571"/>
      <c r="FI53" s="571"/>
      <c r="FJ53" s="571"/>
      <c r="FK53" s="571"/>
      <c r="FL53" s="571"/>
      <c r="FM53" s="571"/>
      <c r="FN53" s="571"/>
      <c r="FO53" s="571"/>
      <c r="FP53" s="571"/>
      <c r="FQ53" s="571"/>
      <c r="FR53" s="571"/>
      <c r="FS53" s="571"/>
      <c r="FT53" s="571"/>
      <c r="FU53" s="571"/>
      <c r="FV53" s="571"/>
      <c r="FW53" s="571"/>
      <c r="FX53" s="571"/>
      <c r="FY53" s="571"/>
      <c r="FZ53" s="571"/>
      <c r="GA53" s="571"/>
      <c r="GB53" s="571"/>
      <c r="GC53" s="571"/>
      <c r="GD53" s="571"/>
      <c r="GE53" s="571"/>
      <c r="GF53" s="571"/>
      <c r="GG53" s="571"/>
      <c r="GH53" s="571"/>
      <c r="GI53" s="571"/>
      <c r="GJ53" s="571"/>
      <c r="GK53" s="571"/>
      <c r="GL53" s="571"/>
      <c r="GM53" s="571"/>
      <c r="GN53" s="571"/>
      <c r="GO53" s="571"/>
      <c r="GP53" s="571"/>
      <c r="GQ53" s="571"/>
      <c r="GR53" s="571"/>
      <c r="GS53" s="571"/>
      <c r="GT53" s="571"/>
      <c r="GU53" s="571"/>
      <c r="GV53" s="571"/>
      <c r="GW53" s="571"/>
      <c r="GX53" s="571"/>
      <c r="GY53" s="571"/>
      <c r="GZ53" s="571"/>
      <c r="HA53" s="571"/>
      <c r="HB53" s="571"/>
      <c r="HC53" s="571"/>
      <c r="HD53" s="571"/>
      <c r="HE53" s="571"/>
      <c r="HF53" s="571"/>
      <c r="HG53" s="571"/>
      <c r="HH53" s="571"/>
      <c r="HI53" s="571"/>
      <c r="HJ53" s="571"/>
      <c r="HK53" s="571"/>
      <c r="HL53" s="571"/>
      <c r="HM53" s="571"/>
      <c r="HN53" s="571"/>
      <c r="HO53" s="571"/>
      <c r="HP53" s="571"/>
      <c r="HQ53" s="571"/>
      <c r="HR53" s="571"/>
      <c r="HS53" s="571"/>
      <c r="HT53" s="571"/>
      <c r="HU53" s="571"/>
      <c r="HV53" s="571"/>
      <c r="HW53" s="571"/>
      <c r="HX53" s="571"/>
      <c r="HY53" s="571"/>
      <c r="HZ53" s="571"/>
      <c r="IA53" s="571"/>
      <c r="IB53" s="571"/>
      <c r="IC53" s="571"/>
      <c r="ID53" s="571"/>
      <c r="IE53" s="571"/>
      <c r="IF53" s="571"/>
      <c r="IG53" s="571"/>
      <c r="IH53" s="571"/>
      <c r="II53" s="571"/>
      <c r="IJ53" s="571"/>
      <c r="IK53" s="571"/>
      <c r="IL53" s="571"/>
      <c r="IM53" s="571"/>
      <c r="IN53" s="571"/>
      <c r="IO53" s="571"/>
      <c r="IP53" s="571"/>
      <c r="IQ53" s="571"/>
      <c r="IR53" s="571"/>
      <c r="IS53" s="571"/>
      <c r="IT53" s="571"/>
      <c r="IU53" s="571"/>
      <c r="IV53" s="571"/>
    </row>
    <row r="54" spans="1:256" s="17" customFormat="1" ht="15.75" customHeight="1">
      <c r="A54" s="572" t="s">
        <v>536</v>
      </c>
      <c r="B54" s="572"/>
      <c r="C54" s="572"/>
      <c r="D54" s="572"/>
      <c r="E54" s="572"/>
      <c r="F54" s="572"/>
      <c r="G54" s="572"/>
      <c r="H54" s="572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  <c r="AY54" s="571"/>
      <c r="AZ54" s="571"/>
      <c r="BA54" s="571"/>
      <c r="BB54" s="571"/>
      <c r="BC54" s="571"/>
      <c r="BD54" s="571"/>
      <c r="BE54" s="571"/>
      <c r="BF54" s="571"/>
      <c r="BG54" s="571"/>
      <c r="BH54" s="571"/>
      <c r="BI54" s="571"/>
      <c r="BJ54" s="571"/>
      <c r="BK54" s="571"/>
      <c r="BL54" s="571"/>
      <c r="BM54" s="571"/>
      <c r="BN54" s="571"/>
      <c r="BO54" s="571"/>
      <c r="BP54" s="571"/>
      <c r="BQ54" s="571"/>
      <c r="BR54" s="571"/>
      <c r="BS54" s="571"/>
      <c r="BT54" s="571"/>
      <c r="BU54" s="571"/>
      <c r="BV54" s="571"/>
      <c r="BW54" s="571"/>
      <c r="BX54" s="571"/>
      <c r="BY54" s="571"/>
      <c r="BZ54" s="571"/>
      <c r="CA54" s="571"/>
      <c r="CB54" s="571"/>
      <c r="CC54" s="571"/>
      <c r="CD54" s="571"/>
      <c r="CE54" s="571"/>
      <c r="CF54" s="571"/>
      <c r="CG54" s="571"/>
      <c r="CH54" s="571"/>
      <c r="CI54" s="571"/>
      <c r="CJ54" s="571"/>
      <c r="CK54" s="571"/>
      <c r="CL54" s="571"/>
      <c r="CM54" s="571"/>
      <c r="CN54" s="571"/>
      <c r="CO54" s="571"/>
      <c r="CP54" s="571"/>
      <c r="CQ54" s="571"/>
      <c r="CR54" s="571"/>
      <c r="CS54" s="571"/>
      <c r="CT54" s="571"/>
      <c r="CU54" s="571"/>
      <c r="CV54" s="571"/>
      <c r="CW54" s="571"/>
      <c r="CX54" s="571"/>
      <c r="CY54" s="571"/>
      <c r="CZ54" s="571"/>
      <c r="DA54" s="571"/>
      <c r="DB54" s="571"/>
      <c r="DC54" s="571"/>
      <c r="DD54" s="571"/>
      <c r="DE54" s="571"/>
      <c r="DF54" s="571"/>
      <c r="DG54" s="571"/>
      <c r="DH54" s="571"/>
      <c r="DI54" s="571"/>
      <c r="DJ54" s="571"/>
      <c r="DK54" s="571"/>
      <c r="DL54" s="571"/>
      <c r="DM54" s="571"/>
      <c r="DN54" s="571"/>
      <c r="DO54" s="571"/>
      <c r="DP54" s="571"/>
      <c r="DQ54" s="571"/>
      <c r="DR54" s="571"/>
      <c r="DS54" s="571"/>
      <c r="DT54" s="571"/>
      <c r="DU54" s="571"/>
      <c r="DV54" s="571"/>
      <c r="DW54" s="571"/>
      <c r="DX54" s="571"/>
      <c r="DY54" s="571"/>
      <c r="DZ54" s="571"/>
      <c r="EA54" s="571"/>
      <c r="EB54" s="571"/>
      <c r="EC54" s="571"/>
      <c r="ED54" s="571"/>
      <c r="EE54" s="571"/>
      <c r="EF54" s="571"/>
      <c r="EG54" s="571"/>
      <c r="EH54" s="571"/>
      <c r="EI54" s="571"/>
      <c r="EJ54" s="571"/>
      <c r="EK54" s="571"/>
      <c r="EL54" s="571"/>
      <c r="EM54" s="571"/>
      <c r="EN54" s="571"/>
      <c r="EO54" s="571"/>
      <c r="EP54" s="571"/>
      <c r="EQ54" s="571"/>
      <c r="ER54" s="571"/>
      <c r="ES54" s="571"/>
      <c r="ET54" s="571"/>
      <c r="EU54" s="571"/>
      <c r="EV54" s="571"/>
      <c r="EW54" s="571"/>
      <c r="EX54" s="571"/>
      <c r="EY54" s="571"/>
      <c r="EZ54" s="571"/>
      <c r="FA54" s="571"/>
      <c r="FB54" s="571"/>
      <c r="FC54" s="571"/>
      <c r="FD54" s="571"/>
      <c r="FE54" s="571"/>
      <c r="FF54" s="571"/>
      <c r="FG54" s="571"/>
      <c r="FH54" s="571"/>
      <c r="FI54" s="571"/>
      <c r="FJ54" s="571"/>
      <c r="FK54" s="571"/>
      <c r="FL54" s="571"/>
      <c r="FM54" s="571"/>
      <c r="FN54" s="571"/>
      <c r="FO54" s="571"/>
      <c r="FP54" s="571"/>
      <c r="FQ54" s="571"/>
      <c r="FR54" s="571"/>
      <c r="FS54" s="571"/>
      <c r="FT54" s="571"/>
      <c r="FU54" s="571"/>
      <c r="FV54" s="571"/>
      <c r="FW54" s="571"/>
      <c r="FX54" s="571"/>
      <c r="FY54" s="571"/>
      <c r="FZ54" s="571"/>
      <c r="GA54" s="571"/>
      <c r="GB54" s="571"/>
      <c r="GC54" s="571"/>
      <c r="GD54" s="571"/>
      <c r="GE54" s="571"/>
      <c r="GF54" s="571"/>
      <c r="GG54" s="571"/>
      <c r="GH54" s="571"/>
      <c r="GI54" s="571"/>
      <c r="GJ54" s="571"/>
      <c r="GK54" s="571"/>
      <c r="GL54" s="571"/>
      <c r="GM54" s="571"/>
      <c r="GN54" s="571"/>
      <c r="GO54" s="571"/>
      <c r="GP54" s="571"/>
      <c r="GQ54" s="571"/>
      <c r="GR54" s="571"/>
      <c r="GS54" s="571"/>
      <c r="GT54" s="571"/>
      <c r="GU54" s="571"/>
      <c r="GV54" s="571"/>
      <c r="GW54" s="571"/>
      <c r="GX54" s="571"/>
      <c r="GY54" s="571"/>
      <c r="GZ54" s="571"/>
      <c r="HA54" s="571"/>
      <c r="HB54" s="571"/>
      <c r="HC54" s="571"/>
      <c r="HD54" s="571"/>
      <c r="HE54" s="571"/>
      <c r="HF54" s="571"/>
      <c r="HG54" s="571"/>
      <c r="HH54" s="571"/>
      <c r="HI54" s="571"/>
      <c r="HJ54" s="571"/>
      <c r="HK54" s="571"/>
      <c r="HL54" s="571"/>
      <c r="HM54" s="571"/>
      <c r="HN54" s="571"/>
      <c r="HO54" s="571"/>
      <c r="HP54" s="571"/>
      <c r="HQ54" s="571"/>
      <c r="HR54" s="571"/>
      <c r="HS54" s="571"/>
      <c r="HT54" s="571"/>
      <c r="HU54" s="571"/>
      <c r="HV54" s="571"/>
      <c r="HW54" s="571"/>
      <c r="HX54" s="571"/>
      <c r="HY54" s="571"/>
      <c r="HZ54" s="571"/>
      <c r="IA54" s="571"/>
      <c r="IB54" s="571"/>
      <c r="IC54" s="571"/>
      <c r="ID54" s="571"/>
      <c r="IE54" s="571"/>
      <c r="IF54" s="571"/>
      <c r="IG54" s="571"/>
      <c r="IH54" s="571"/>
      <c r="II54" s="571"/>
      <c r="IJ54" s="571"/>
      <c r="IK54" s="571"/>
      <c r="IL54" s="571"/>
      <c r="IM54" s="571"/>
      <c r="IN54" s="571"/>
      <c r="IO54" s="571"/>
      <c r="IP54" s="571"/>
      <c r="IQ54" s="571"/>
      <c r="IR54" s="571"/>
      <c r="IS54" s="571"/>
      <c r="IT54" s="571"/>
      <c r="IU54" s="571"/>
      <c r="IV54" s="571"/>
    </row>
    <row r="55" spans="1:8" ht="11.25" customHeight="1">
      <c r="A55" s="571"/>
      <c r="B55" s="571"/>
      <c r="C55" s="571"/>
      <c r="D55" s="571"/>
      <c r="E55" s="571"/>
      <c r="F55" s="571"/>
      <c r="G55" s="571"/>
      <c r="H55" s="571"/>
    </row>
    <row r="56" spans="1:8" ht="11.25" customHeight="1">
      <c r="A56" s="571"/>
      <c r="B56" s="571"/>
      <c r="C56" s="571"/>
      <c r="D56" s="571"/>
      <c r="E56" s="571"/>
      <c r="F56" s="571"/>
      <c r="G56" s="571"/>
      <c r="H56" s="571"/>
    </row>
    <row r="57" spans="1:8" ht="11.25" customHeight="1">
      <c r="A57" s="571"/>
      <c r="B57" s="571"/>
      <c r="C57" s="571"/>
      <c r="D57" s="571"/>
      <c r="E57" s="571"/>
      <c r="F57" s="571"/>
      <c r="G57" s="571"/>
      <c r="H57" s="571"/>
    </row>
    <row r="58" spans="1:8" ht="11.25" customHeight="1">
      <c r="A58" s="570"/>
      <c r="B58" s="570"/>
      <c r="C58" s="570"/>
      <c r="D58" s="570"/>
      <c r="E58" s="570"/>
      <c r="F58" s="570"/>
      <c r="G58" s="570"/>
      <c r="H58" s="570"/>
    </row>
  </sheetData>
  <sheetProtection/>
  <mergeCells count="140"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AO53:AV53"/>
    <mergeCell ref="AW53:BD53"/>
    <mergeCell ref="CS53:CZ53"/>
    <mergeCell ref="Q53:X53"/>
    <mergeCell ref="Y53:AF53"/>
    <mergeCell ref="A15:H15"/>
    <mergeCell ref="E19:F19"/>
    <mergeCell ref="E17:F17"/>
    <mergeCell ref="G19:H19"/>
    <mergeCell ref="A26:H26"/>
    <mergeCell ref="I8:I9"/>
    <mergeCell ref="I12:I15"/>
    <mergeCell ref="G20:H20"/>
    <mergeCell ref="G21:H21"/>
    <mergeCell ref="E18:F18"/>
    <mergeCell ref="E10:F10"/>
    <mergeCell ref="E16:F16"/>
    <mergeCell ref="G16:H16"/>
    <mergeCell ref="G18:H18"/>
    <mergeCell ref="G17:H17"/>
    <mergeCell ref="A14:H14"/>
    <mergeCell ref="E22:F22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A37:D37"/>
    <mergeCell ref="E8:H8"/>
    <mergeCell ref="A23:F23"/>
    <mergeCell ref="G23:H23"/>
    <mergeCell ref="E11:H11"/>
    <mergeCell ref="G10:H10"/>
    <mergeCell ref="A30:F30"/>
    <mergeCell ref="A12:H12"/>
    <mergeCell ref="A13:H13"/>
    <mergeCell ref="G22:H22"/>
    <mergeCell ref="G28:H28"/>
    <mergeCell ref="B25:D25"/>
    <mergeCell ref="E28:F28"/>
    <mergeCell ref="A36:H36"/>
    <mergeCell ref="A32:C32"/>
    <mergeCell ref="A29:F29"/>
    <mergeCell ref="A28:B28"/>
    <mergeCell ref="A35:D35"/>
    <mergeCell ref="A27:H27"/>
    <mergeCell ref="A34:H34"/>
    <mergeCell ref="D32:G32"/>
    <mergeCell ref="A58:H58"/>
    <mergeCell ref="A55:H55"/>
    <mergeCell ref="A56:H56"/>
    <mergeCell ref="A57:H57"/>
    <mergeCell ref="A53:H53"/>
    <mergeCell ref="A54:H54"/>
    <mergeCell ref="A38:D38"/>
    <mergeCell ref="E38:G38"/>
    <mergeCell ref="A40:D40"/>
    <mergeCell ref="E40:G40"/>
    <mergeCell ref="A41:D41"/>
    <mergeCell ref="E41:G41"/>
    <mergeCell ref="A42:D42"/>
    <mergeCell ref="E42:G42"/>
    <mergeCell ref="A39:D39"/>
    <mergeCell ref="E39:G39"/>
    <mergeCell ref="A43:D43"/>
    <mergeCell ref="E43:G43"/>
    <mergeCell ref="A44:D44"/>
    <mergeCell ref="E44:G44"/>
    <mergeCell ref="A49:G49"/>
    <mergeCell ref="A50:G50"/>
    <mergeCell ref="A51:G51"/>
    <mergeCell ref="A52:G52"/>
    <mergeCell ref="A45:D45"/>
    <mergeCell ref="E45:G45"/>
    <mergeCell ref="A46:D46"/>
    <mergeCell ref="E46:G46"/>
    <mergeCell ref="A47:D47"/>
    <mergeCell ref="E47:G47"/>
  </mergeCells>
  <printOptions/>
  <pageMargins left="0.5118110236220472" right="0.31496062992125984" top="0.2362204724409449" bottom="0.2362204724409449" header="0.2362204724409449" footer="0.2755905511811024"/>
  <pageSetup fitToHeight="0" fitToWidth="1" horizontalDpi="180" verticalDpi="180" orientation="landscape" paperSize="9" r:id="rId1"/>
  <rowBreaks count="1" manualBreakCount="1">
    <brk id="3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8"/>
  <sheetViews>
    <sheetView view="pageBreakPreview" zoomScale="60" zoomScalePageLayoutView="0" workbookViewId="0" topLeftCell="A14">
      <selection activeCell="A66" sqref="A1:K16384"/>
    </sheetView>
  </sheetViews>
  <sheetFormatPr defaultColWidth="9.140625" defaultRowHeight="15"/>
  <cols>
    <col min="1" max="1" width="9.140625" style="185" customWidth="1"/>
    <col min="2" max="2" width="18.00390625" style="186" customWidth="1"/>
    <col min="3" max="3" width="20.57421875" style="185" customWidth="1"/>
    <col min="4" max="4" width="21.28125" style="185" customWidth="1"/>
    <col min="5" max="5" width="17.28125" style="185" customWidth="1"/>
    <col min="6" max="6" width="20.8515625" style="185" customWidth="1"/>
    <col min="7" max="7" width="16.8515625" style="185" customWidth="1"/>
    <col min="8" max="8" width="16.28125" style="185" customWidth="1"/>
    <col min="9" max="9" width="19.57421875" style="185" customWidth="1"/>
    <col min="10" max="10" width="23.00390625" style="185" customWidth="1"/>
    <col min="11" max="11" width="24.421875" style="185" customWidth="1"/>
    <col min="12" max="12" width="18.00390625" style="185" bestFit="1" customWidth="1"/>
    <col min="13" max="13" width="15.421875" style="185" customWidth="1"/>
    <col min="14" max="16384" width="9.140625" style="185" customWidth="1"/>
  </cols>
  <sheetData>
    <row r="1" spans="5:6" ht="15.75" customHeight="1">
      <c r="E1" s="746"/>
      <c r="F1" s="746"/>
    </row>
    <row r="2" spans="1:26" s="189" customFormat="1" ht="40.5" customHeight="1">
      <c r="A2" s="747" t="s">
        <v>539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2:26" s="189" customFormat="1" ht="15.75" customHeight="1">
      <c r="B3" s="748" t="s">
        <v>861</v>
      </c>
      <c r="C3" s="748"/>
      <c r="D3" s="748"/>
      <c r="E3" s="748"/>
      <c r="F3" s="748"/>
      <c r="G3" s="748"/>
      <c r="H3" s="748"/>
      <c r="I3" s="74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162" ht="20.25" customHeight="1">
      <c r="A4" s="749" t="s">
        <v>540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</row>
    <row r="5" spans="2:31" ht="15.75" customHeight="1">
      <c r="B5" s="185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2:31" ht="15.75" customHeight="1">
      <c r="B6" s="192" t="s">
        <v>541</v>
      </c>
      <c r="C6" s="192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spans="2:31" ht="15.75" customHeight="1">
      <c r="B7" s="185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2:31" ht="15.75" customHeight="1">
      <c r="B8" s="192" t="s">
        <v>542</v>
      </c>
      <c r="C8" s="192"/>
      <c r="D8" s="192" t="s">
        <v>702</v>
      </c>
      <c r="E8" s="192"/>
      <c r="F8" s="191"/>
      <c r="G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2:31" ht="15.75" customHeight="1">
      <c r="B9" s="185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</row>
    <row r="10" spans="2:31" ht="15.75" customHeight="1">
      <c r="B10" s="193" t="s">
        <v>544</v>
      </c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</row>
    <row r="11" spans="2:31" ht="15.75" customHeight="1">
      <c r="B11" s="185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</row>
    <row r="12" spans="1:83" ht="48" customHeight="1">
      <c r="A12" s="739" t="s">
        <v>545</v>
      </c>
      <c r="B12" s="740" t="s">
        <v>546</v>
      </c>
      <c r="C12" s="740" t="s">
        <v>547</v>
      </c>
      <c r="D12" s="743" t="s">
        <v>548</v>
      </c>
      <c r="E12" s="744"/>
      <c r="F12" s="744"/>
      <c r="G12" s="745"/>
      <c r="H12" s="730" t="s">
        <v>549</v>
      </c>
      <c r="I12" s="730" t="s">
        <v>550</v>
      </c>
      <c r="J12" s="730" t="s">
        <v>551</v>
      </c>
      <c r="K12" s="733" t="s">
        <v>552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1"/>
      <c r="BY12" s="191"/>
      <c r="BZ12" s="191"/>
      <c r="CA12" s="191"/>
      <c r="CB12" s="191"/>
      <c r="CC12" s="191"/>
      <c r="CD12" s="191"/>
      <c r="CE12" s="191"/>
    </row>
    <row r="13" spans="1:73" ht="15.75" customHeight="1">
      <c r="A13" s="739"/>
      <c r="B13" s="741"/>
      <c r="C13" s="741"/>
      <c r="D13" s="195" t="s">
        <v>36</v>
      </c>
      <c r="E13" s="734" t="s">
        <v>4</v>
      </c>
      <c r="F13" s="735"/>
      <c r="G13" s="735"/>
      <c r="H13" s="731"/>
      <c r="I13" s="731"/>
      <c r="J13" s="731"/>
      <c r="K13" s="73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</row>
    <row r="14" spans="1:31" ht="46.5" customHeight="1">
      <c r="A14" s="739"/>
      <c r="B14" s="742"/>
      <c r="C14" s="742"/>
      <c r="D14" s="197"/>
      <c r="E14" s="198" t="s">
        <v>553</v>
      </c>
      <c r="F14" s="198" t="s">
        <v>554</v>
      </c>
      <c r="G14" s="196" t="s">
        <v>555</v>
      </c>
      <c r="H14" s="732"/>
      <c r="I14" s="732"/>
      <c r="J14" s="732"/>
      <c r="K14" s="73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1"/>
      <c r="AB14" s="191"/>
      <c r="AC14" s="191"/>
      <c r="AD14" s="191"/>
      <c r="AE14" s="191"/>
    </row>
    <row r="15" spans="1:31" ht="15.75" customHeight="1">
      <c r="A15" s="199">
        <v>1</v>
      </c>
      <c r="B15" s="200">
        <v>2</v>
      </c>
      <c r="C15" s="200">
        <v>3</v>
      </c>
      <c r="D15" s="201">
        <v>4</v>
      </c>
      <c r="E15" s="202">
        <v>5</v>
      </c>
      <c r="F15" s="203">
        <v>6</v>
      </c>
      <c r="G15" s="200">
        <v>7</v>
      </c>
      <c r="H15" s="200">
        <v>8</v>
      </c>
      <c r="I15" s="200">
        <v>9</v>
      </c>
      <c r="J15" s="203">
        <v>10</v>
      </c>
      <c r="K15" s="203">
        <v>11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191"/>
      <c r="AB15" s="191"/>
      <c r="AC15" s="191"/>
      <c r="AD15" s="191"/>
      <c r="AE15" s="191"/>
    </row>
    <row r="16" spans="1:31" ht="15.75" customHeight="1">
      <c r="A16" s="205"/>
      <c r="B16" s="206" t="s">
        <v>556</v>
      </c>
      <c r="C16" s="329">
        <v>2</v>
      </c>
      <c r="D16" s="329">
        <f>SUM(E16:G16)</f>
        <v>3120</v>
      </c>
      <c r="E16" s="238">
        <v>0</v>
      </c>
      <c r="F16" s="238">
        <v>0</v>
      </c>
      <c r="G16" s="329">
        <v>3120</v>
      </c>
      <c r="H16" s="329">
        <v>0</v>
      </c>
      <c r="I16" s="329">
        <v>1.15</v>
      </c>
      <c r="J16" s="330">
        <f>(C16*D16*(1+H16/100)*I16*12)</f>
        <v>86111.99999999999</v>
      </c>
      <c r="K16" s="210" t="s">
        <v>557</v>
      </c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91"/>
      <c r="AB16" s="191"/>
      <c r="AC16" s="191"/>
      <c r="AD16" s="191"/>
      <c r="AE16" s="191"/>
    </row>
    <row r="17" spans="1:31" ht="15.75" customHeight="1">
      <c r="A17" s="205"/>
      <c r="B17" s="206" t="s">
        <v>558</v>
      </c>
      <c r="C17" s="329">
        <v>3</v>
      </c>
      <c r="D17" s="329">
        <f>SUM(E17:G17)</f>
        <v>2500</v>
      </c>
      <c r="E17" s="238">
        <v>0</v>
      </c>
      <c r="F17" s="238">
        <v>0</v>
      </c>
      <c r="G17" s="329">
        <f>2500</f>
        <v>2500</v>
      </c>
      <c r="H17" s="329">
        <v>0</v>
      </c>
      <c r="I17" s="329">
        <v>1.15</v>
      </c>
      <c r="J17" s="330">
        <f>(C17*D17*(1+H17/100)*I17*12)</f>
        <v>103500</v>
      </c>
      <c r="K17" s="210" t="s">
        <v>557</v>
      </c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91"/>
      <c r="AB17" s="191"/>
      <c r="AC17" s="191"/>
      <c r="AD17" s="191"/>
      <c r="AE17" s="191"/>
    </row>
    <row r="18" spans="1:31" ht="15.75" customHeight="1">
      <c r="A18" s="205"/>
      <c r="B18" s="206" t="s">
        <v>559</v>
      </c>
      <c r="C18" s="329">
        <v>44</v>
      </c>
      <c r="D18" s="329">
        <f>SUM(E18:G18)</f>
        <v>4285.22</v>
      </c>
      <c r="E18" s="238">
        <v>0</v>
      </c>
      <c r="F18" s="238">
        <v>0</v>
      </c>
      <c r="G18" s="329">
        <f>3689.69-18.69+614.22</f>
        <v>4285.22</v>
      </c>
      <c r="H18" s="329">
        <v>0</v>
      </c>
      <c r="I18" s="329">
        <v>1.15</v>
      </c>
      <c r="J18" s="330">
        <f>(C18*D18*(1+H18/100)*I18*12)</f>
        <v>2601985.5840000003</v>
      </c>
      <c r="K18" s="210" t="s">
        <v>557</v>
      </c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191"/>
      <c r="AB18" s="191"/>
      <c r="AC18" s="191"/>
      <c r="AD18" s="191"/>
      <c r="AE18" s="191"/>
    </row>
    <row r="19" spans="1:31" s="193" customFormat="1" ht="15.75" customHeight="1">
      <c r="A19" s="218"/>
      <c r="B19" s="387"/>
      <c r="C19" s="348">
        <f>SUM(C16:C18)</f>
        <v>49</v>
      </c>
      <c r="D19" s="348"/>
      <c r="E19" s="349"/>
      <c r="F19" s="349"/>
      <c r="G19" s="348"/>
      <c r="H19" s="348"/>
      <c r="I19" s="348"/>
      <c r="J19" s="289">
        <f>SUM(J16:J18)</f>
        <v>2791597.5840000003</v>
      </c>
      <c r="K19" s="388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222"/>
      <c r="AB19" s="222"/>
      <c r="AC19" s="222"/>
      <c r="AD19" s="222"/>
      <c r="AE19" s="222"/>
    </row>
    <row r="20" spans="1:31" s="193" customFormat="1" ht="15.75" customHeight="1">
      <c r="A20" s="218"/>
      <c r="B20" s="206" t="s">
        <v>556</v>
      </c>
      <c r="C20" s="329">
        <v>2</v>
      </c>
      <c r="D20" s="329">
        <f>SUM(E20:H20)</f>
        <v>1560</v>
      </c>
      <c r="E20" s="329">
        <v>1560</v>
      </c>
      <c r="F20" s="202">
        <v>0</v>
      </c>
      <c r="G20" s="214">
        <v>0</v>
      </c>
      <c r="H20" s="214">
        <v>0</v>
      </c>
      <c r="I20" s="214">
        <v>1.15</v>
      </c>
      <c r="J20" s="330">
        <f>(C20*D20*(1+H20/100)*I20*12)</f>
        <v>43055.99999999999</v>
      </c>
      <c r="K20" s="388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222"/>
      <c r="AB20" s="222"/>
      <c r="AC20" s="222"/>
      <c r="AD20" s="222"/>
      <c r="AE20" s="222"/>
    </row>
    <row r="21" spans="1:31" s="193" customFormat="1" ht="15.75" customHeight="1">
      <c r="A21" s="218"/>
      <c r="B21" s="206" t="s">
        <v>558</v>
      </c>
      <c r="C21" s="329">
        <v>4</v>
      </c>
      <c r="D21" s="329">
        <f>SUM(E21:H21)</f>
        <v>2600</v>
      </c>
      <c r="E21" s="329">
        <v>2600</v>
      </c>
      <c r="F21" s="202">
        <v>0</v>
      </c>
      <c r="G21" s="214">
        <v>0</v>
      </c>
      <c r="H21" s="214">
        <v>0</v>
      </c>
      <c r="I21" s="214">
        <v>1.15</v>
      </c>
      <c r="J21" s="330">
        <f>(C21*D21*(1+H21/100)*I21*12)</f>
        <v>143519.99999999997</v>
      </c>
      <c r="K21" s="388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222"/>
      <c r="AB21" s="222"/>
      <c r="AC21" s="222"/>
      <c r="AD21" s="222"/>
      <c r="AE21" s="222"/>
    </row>
    <row r="22" spans="1:31" s="193" customFormat="1" ht="15.75" customHeight="1">
      <c r="A22" s="218"/>
      <c r="B22" s="206" t="s">
        <v>559</v>
      </c>
      <c r="C22" s="329">
        <v>5</v>
      </c>
      <c r="D22" s="329">
        <f>SUM(E22:H22)</f>
        <v>5074.76</v>
      </c>
      <c r="E22" s="329">
        <v>5074.76</v>
      </c>
      <c r="F22" s="202">
        <v>0</v>
      </c>
      <c r="G22" s="214">
        <v>0</v>
      </c>
      <c r="H22" s="214">
        <v>0</v>
      </c>
      <c r="I22" s="214">
        <v>1.15</v>
      </c>
      <c r="J22" s="330">
        <f>(C22*D22*(1+H22/100)*I22*12)</f>
        <v>350158.44000000006</v>
      </c>
      <c r="K22" s="388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222"/>
      <c r="AB22" s="222"/>
      <c r="AC22" s="222"/>
      <c r="AD22" s="222"/>
      <c r="AE22" s="222"/>
    </row>
    <row r="23" spans="1:31" s="193" customFormat="1" ht="15.75" customHeight="1">
      <c r="A23" s="218"/>
      <c r="B23" s="206" t="s">
        <v>560</v>
      </c>
      <c r="C23" s="535"/>
      <c r="D23" s="201"/>
      <c r="E23" s="202"/>
      <c r="F23" s="202"/>
      <c r="G23" s="214"/>
      <c r="H23" s="214"/>
      <c r="I23" s="214"/>
      <c r="J23" s="330">
        <f>(C23*D23*(1+H23/100)*I23*12)</f>
        <v>0</v>
      </c>
      <c r="K23" s="388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222"/>
      <c r="AB23" s="222"/>
      <c r="AC23" s="222"/>
      <c r="AD23" s="222"/>
      <c r="AE23" s="222"/>
    </row>
    <row r="24" spans="1:31" s="193" customFormat="1" ht="15.75" customHeight="1">
      <c r="A24" s="218"/>
      <c r="B24" s="206" t="s">
        <v>561</v>
      </c>
      <c r="C24" s="201" t="s">
        <v>562</v>
      </c>
      <c r="D24" s="201"/>
      <c r="E24" s="202" t="s">
        <v>562</v>
      </c>
      <c r="F24" s="202" t="s">
        <v>562</v>
      </c>
      <c r="G24" s="214" t="s">
        <v>562</v>
      </c>
      <c r="H24" s="214" t="s">
        <v>562</v>
      </c>
      <c r="I24" s="214" t="s">
        <v>562</v>
      </c>
      <c r="J24" s="289">
        <f>SUM(J20:J23)</f>
        <v>536734.4400000001</v>
      </c>
      <c r="K24" s="388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222"/>
      <c r="AB24" s="222"/>
      <c r="AC24" s="222"/>
      <c r="AD24" s="222"/>
      <c r="AE24" s="222"/>
    </row>
    <row r="25" spans="1:31" ht="15.75" customHeight="1">
      <c r="A25" s="205"/>
      <c r="B25" s="206" t="s">
        <v>559</v>
      </c>
      <c r="C25" s="329">
        <v>2</v>
      </c>
      <c r="D25" s="329">
        <f>SUM(E25:G25)</f>
        <v>100000</v>
      </c>
      <c r="E25" s="238">
        <v>0</v>
      </c>
      <c r="F25" s="238">
        <v>100000</v>
      </c>
      <c r="G25" s="329">
        <v>0</v>
      </c>
      <c r="H25" s="329">
        <v>0</v>
      </c>
      <c r="I25" s="329">
        <v>1.15</v>
      </c>
      <c r="J25" s="330">
        <f>D25</f>
        <v>100000</v>
      </c>
      <c r="K25" s="210" t="s">
        <v>557</v>
      </c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191"/>
      <c r="AB25" s="191"/>
      <c r="AC25" s="191"/>
      <c r="AD25" s="191"/>
      <c r="AE25" s="191"/>
    </row>
    <row r="26" spans="1:31" ht="15.75" customHeight="1">
      <c r="A26" s="205"/>
      <c r="B26" s="206" t="s">
        <v>559</v>
      </c>
      <c r="C26" s="329">
        <v>1</v>
      </c>
      <c r="D26" s="329">
        <f>SUM(E26:G26)</f>
        <v>90000</v>
      </c>
      <c r="E26" s="238">
        <v>0</v>
      </c>
      <c r="F26" s="238">
        <v>90000</v>
      </c>
      <c r="G26" s="329">
        <v>0</v>
      </c>
      <c r="H26" s="329">
        <v>0</v>
      </c>
      <c r="I26" s="329" t="s">
        <v>562</v>
      </c>
      <c r="J26" s="330">
        <f>D26</f>
        <v>90000</v>
      </c>
      <c r="K26" s="210" t="s">
        <v>557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191"/>
      <c r="AB26" s="191"/>
      <c r="AC26" s="191"/>
      <c r="AD26" s="191"/>
      <c r="AE26" s="191"/>
    </row>
    <row r="27" spans="1:31" ht="15.75" customHeight="1">
      <c r="A27" s="205"/>
      <c r="B27" s="206" t="s">
        <v>748</v>
      </c>
      <c r="C27" s="329"/>
      <c r="D27" s="329"/>
      <c r="E27" s="238"/>
      <c r="F27" s="238"/>
      <c r="G27" s="329"/>
      <c r="H27" s="329"/>
      <c r="I27" s="329"/>
      <c r="J27" s="330">
        <v>14775.84</v>
      </c>
      <c r="K27" s="210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191"/>
      <c r="AB27" s="191"/>
      <c r="AC27" s="191"/>
      <c r="AD27" s="191"/>
      <c r="AE27" s="191"/>
    </row>
    <row r="28" spans="1:31" ht="15.75" customHeight="1">
      <c r="A28" s="205"/>
      <c r="B28" s="212" t="s">
        <v>561</v>
      </c>
      <c r="C28" s="331" t="s">
        <v>562</v>
      </c>
      <c r="D28" s="331"/>
      <c r="E28" s="303" t="s">
        <v>562</v>
      </c>
      <c r="F28" s="303" t="s">
        <v>562</v>
      </c>
      <c r="G28" s="331" t="s">
        <v>562</v>
      </c>
      <c r="H28" s="331" t="s">
        <v>562</v>
      </c>
      <c r="I28" s="331" t="s">
        <v>562</v>
      </c>
      <c r="J28" s="332">
        <f>SUM(J24:J27)+J19</f>
        <v>3533107.864</v>
      </c>
      <c r="K28" s="202" t="s">
        <v>562</v>
      </c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191"/>
      <c r="AB28" s="191"/>
      <c r="AC28" s="191"/>
      <c r="AD28" s="191"/>
      <c r="AE28" s="191"/>
    </row>
    <row r="29" spans="1:31" ht="15.75" customHeight="1">
      <c r="A29" s="205"/>
      <c r="B29" s="206" t="s">
        <v>556</v>
      </c>
      <c r="C29" s="333"/>
      <c r="D29" s="333"/>
      <c r="E29" s="330"/>
      <c r="F29" s="330"/>
      <c r="G29" s="334"/>
      <c r="H29" s="334"/>
      <c r="I29" s="334"/>
      <c r="J29" s="330">
        <f>(C29*D29*(1+H29/100)*I29*12)</f>
        <v>0</v>
      </c>
      <c r="K29" s="210" t="s">
        <v>563</v>
      </c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191"/>
      <c r="AB29" s="191"/>
      <c r="AC29" s="191"/>
      <c r="AD29" s="191"/>
      <c r="AE29" s="191"/>
    </row>
    <row r="30" spans="1:31" ht="15.75" customHeight="1">
      <c r="A30" s="205"/>
      <c r="B30" s="206" t="s">
        <v>558</v>
      </c>
      <c r="C30" s="333"/>
      <c r="D30" s="333"/>
      <c r="E30" s="330"/>
      <c r="F30" s="330"/>
      <c r="G30" s="334"/>
      <c r="H30" s="334"/>
      <c r="I30" s="334"/>
      <c r="J30" s="330">
        <f>(C30*D30*(1+H30/100)*I30*12)</f>
        <v>0</v>
      </c>
      <c r="K30" s="210" t="s">
        <v>563</v>
      </c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191"/>
      <c r="AB30" s="191"/>
      <c r="AC30" s="191"/>
      <c r="AD30" s="191"/>
      <c r="AE30" s="191"/>
    </row>
    <row r="31" spans="1:31" ht="15.75" customHeight="1">
      <c r="A31" s="205"/>
      <c r="B31" s="206" t="s">
        <v>559</v>
      </c>
      <c r="C31" s="333">
        <v>0</v>
      </c>
      <c r="D31" s="333">
        <v>0</v>
      </c>
      <c r="E31" s="330"/>
      <c r="F31" s="330"/>
      <c r="G31" s="334"/>
      <c r="H31" s="334"/>
      <c r="I31" s="334"/>
      <c r="J31" s="330">
        <f>D31</f>
        <v>0</v>
      </c>
      <c r="K31" s="210" t="s">
        <v>563</v>
      </c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191"/>
      <c r="AB31" s="191"/>
      <c r="AC31" s="191"/>
      <c r="AD31" s="191"/>
      <c r="AE31" s="191"/>
    </row>
    <row r="32" spans="1:31" ht="15.75" customHeight="1">
      <c r="A32" s="205"/>
      <c r="B32" s="206" t="s">
        <v>560</v>
      </c>
      <c r="C32" s="333"/>
      <c r="D32" s="333"/>
      <c r="E32" s="330"/>
      <c r="F32" s="330"/>
      <c r="G32" s="334"/>
      <c r="H32" s="334"/>
      <c r="I32" s="334"/>
      <c r="J32" s="330">
        <f>(C32*D32*(1+H32/100)*I32*12)</f>
        <v>0</v>
      </c>
      <c r="K32" s="210" t="s">
        <v>563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191"/>
      <c r="AB32" s="191"/>
      <c r="AC32" s="191"/>
      <c r="AD32" s="191"/>
      <c r="AE32" s="191"/>
    </row>
    <row r="33" spans="1:31" ht="15.75" customHeight="1">
      <c r="A33" s="205"/>
      <c r="B33" s="212" t="s">
        <v>561</v>
      </c>
      <c r="C33" s="333" t="s">
        <v>562</v>
      </c>
      <c r="D33" s="333"/>
      <c r="E33" s="330" t="s">
        <v>562</v>
      </c>
      <c r="F33" s="330" t="s">
        <v>562</v>
      </c>
      <c r="G33" s="334" t="s">
        <v>562</v>
      </c>
      <c r="H33" s="334" t="s">
        <v>562</v>
      </c>
      <c r="I33" s="334" t="s">
        <v>562</v>
      </c>
      <c r="J33" s="330">
        <f>SUM(J29:J32)</f>
        <v>0</v>
      </c>
      <c r="K33" s="202" t="s">
        <v>562</v>
      </c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12" ht="15.75" customHeight="1">
      <c r="A34" s="736" t="s">
        <v>561</v>
      </c>
      <c r="B34" s="737"/>
      <c r="C34" s="335" t="s">
        <v>562</v>
      </c>
      <c r="D34" s="336"/>
      <c r="E34" s="336"/>
      <c r="F34" s="336"/>
      <c r="G34" s="336"/>
      <c r="H34" s="336"/>
      <c r="I34" s="336"/>
      <c r="J34" s="289" t="s">
        <v>562</v>
      </c>
      <c r="K34" s="218"/>
      <c r="L34" s="390">
        <f>J19+G123+J27</f>
        <v>3811524.954</v>
      </c>
    </row>
    <row r="35" spans="1:12" ht="15.75" customHeight="1">
      <c r="A35" s="191"/>
      <c r="B35" s="219"/>
      <c r="C35" s="220"/>
      <c r="D35" s="219"/>
      <c r="E35" s="219"/>
      <c r="F35" s="219"/>
      <c r="G35" s="219"/>
      <c r="H35" s="219"/>
      <c r="I35" s="219"/>
      <c r="J35" s="221"/>
      <c r="K35" s="222"/>
      <c r="L35" s="390">
        <f>J28+G123</f>
        <v>4538259.393999999</v>
      </c>
    </row>
    <row r="36" spans="2:31" ht="15.75" customHeight="1" hidden="1">
      <c r="B36" s="193" t="s">
        <v>862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2:31" ht="15.75" customHeight="1" hidden="1">
      <c r="B37" s="185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83" ht="15.75" customHeight="1" hidden="1">
      <c r="A38" s="739" t="s">
        <v>545</v>
      </c>
      <c r="B38" s="740" t="s">
        <v>546</v>
      </c>
      <c r="C38" s="740" t="s">
        <v>547</v>
      </c>
      <c r="D38" s="743" t="s">
        <v>548</v>
      </c>
      <c r="E38" s="744"/>
      <c r="F38" s="744"/>
      <c r="G38" s="745"/>
      <c r="H38" s="730" t="s">
        <v>549</v>
      </c>
      <c r="I38" s="730" t="s">
        <v>550</v>
      </c>
      <c r="J38" s="730" t="s">
        <v>551</v>
      </c>
      <c r="K38" s="733" t="s">
        <v>552</v>
      </c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1"/>
      <c r="BY38" s="191"/>
      <c r="BZ38" s="191"/>
      <c r="CA38" s="191"/>
      <c r="CB38" s="191"/>
      <c r="CC38" s="191"/>
      <c r="CD38" s="191"/>
      <c r="CE38" s="191"/>
    </row>
    <row r="39" spans="1:73" ht="15.75" customHeight="1" hidden="1">
      <c r="A39" s="739"/>
      <c r="B39" s="741"/>
      <c r="C39" s="741"/>
      <c r="D39" s="195" t="s">
        <v>36</v>
      </c>
      <c r="E39" s="734" t="s">
        <v>4</v>
      </c>
      <c r="F39" s="735"/>
      <c r="G39" s="735"/>
      <c r="H39" s="731"/>
      <c r="I39" s="731"/>
      <c r="J39" s="731"/>
      <c r="K39" s="733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</row>
    <row r="40" spans="1:31" ht="15.75" customHeight="1" hidden="1">
      <c r="A40" s="739"/>
      <c r="B40" s="742"/>
      <c r="C40" s="742"/>
      <c r="D40" s="197"/>
      <c r="E40" s="198" t="s">
        <v>553</v>
      </c>
      <c r="F40" s="198" t="s">
        <v>554</v>
      </c>
      <c r="G40" s="196" t="s">
        <v>555</v>
      </c>
      <c r="H40" s="732"/>
      <c r="I40" s="732"/>
      <c r="J40" s="732"/>
      <c r="K40" s="733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1"/>
      <c r="AB40" s="191"/>
      <c r="AC40" s="191"/>
      <c r="AD40" s="191"/>
      <c r="AE40" s="191"/>
    </row>
    <row r="41" spans="1:31" ht="15.75" customHeight="1" hidden="1">
      <c r="A41" s="199">
        <v>1</v>
      </c>
      <c r="B41" s="200">
        <v>2</v>
      </c>
      <c r="C41" s="200">
        <v>3</v>
      </c>
      <c r="D41" s="201">
        <v>4</v>
      </c>
      <c r="E41" s="202">
        <v>5</v>
      </c>
      <c r="F41" s="203">
        <v>6</v>
      </c>
      <c r="G41" s="200">
        <v>7</v>
      </c>
      <c r="H41" s="200">
        <v>8</v>
      </c>
      <c r="I41" s="200">
        <v>9</v>
      </c>
      <c r="J41" s="203">
        <v>10</v>
      </c>
      <c r="K41" s="203">
        <v>11</v>
      </c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191"/>
      <c r="AB41" s="191"/>
      <c r="AC41" s="191"/>
      <c r="AD41" s="191"/>
      <c r="AE41" s="191"/>
    </row>
    <row r="42" spans="1:31" ht="15.75" customHeight="1" hidden="1">
      <c r="A42" s="205"/>
      <c r="B42" s="206" t="s">
        <v>556</v>
      </c>
      <c r="C42" s="329">
        <v>2</v>
      </c>
      <c r="D42" s="329">
        <f>SUM(E42:H42)</f>
        <v>1560</v>
      </c>
      <c r="E42" s="329">
        <v>1560</v>
      </c>
      <c r="F42" s="202">
        <v>0</v>
      </c>
      <c r="G42" s="214">
        <v>0</v>
      </c>
      <c r="H42" s="214">
        <v>0</v>
      </c>
      <c r="I42" s="214">
        <v>1.15</v>
      </c>
      <c r="J42" s="330"/>
      <c r="K42" s="210" t="s">
        <v>557</v>
      </c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191"/>
      <c r="AB42" s="191"/>
      <c r="AC42" s="191"/>
      <c r="AD42" s="191"/>
      <c r="AE42" s="191"/>
    </row>
    <row r="43" spans="1:31" ht="15.75" customHeight="1" hidden="1">
      <c r="A43" s="205"/>
      <c r="B43" s="206" t="s">
        <v>558</v>
      </c>
      <c r="C43" s="329">
        <v>4</v>
      </c>
      <c r="D43" s="329">
        <f>SUM(E43:H43)</f>
        <v>2600</v>
      </c>
      <c r="E43" s="329">
        <v>2600</v>
      </c>
      <c r="F43" s="202">
        <v>0</v>
      </c>
      <c r="G43" s="214">
        <v>0</v>
      </c>
      <c r="H43" s="214">
        <v>0</v>
      </c>
      <c r="I43" s="214">
        <v>1.15</v>
      </c>
      <c r="J43" s="330"/>
      <c r="K43" s="210" t="s">
        <v>557</v>
      </c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191"/>
      <c r="AB43" s="191"/>
      <c r="AC43" s="191"/>
      <c r="AD43" s="191"/>
      <c r="AE43" s="191"/>
    </row>
    <row r="44" spans="1:31" ht="15.75" customHeight="1" hidden="1">
      <c r="A44" s="205"/>
      <c r="B44" s="206" t="s">
        <v>559</v>
      </c>
      <c r="C44" s="329">
        <v>5</v>
      </c>
      <c r="D44" s="329">
        <f>SUM(E44:H44)</f>
        <v>5074.76</v>
      </c>
      <c r="E44" s="329">
        <v>5074.76</v>
      </c>
      <c r="F44" s="202">
        <v>0</v>
      </c>
      <c r="G44" s="214">
        <v>0</v>
      </c>
      <c r="H44" s="214">
        <v>0</v>
      </c>
      <c r="I44" s="214">
        <v>1.15</v>
      </c>
      <c r="J44" s="330"/>
      <c r="K44" s="210" t="s">
        <v>557</v>
      </c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191"/>
      <c r="AB44" s="191"/>
      <c r="AC44" s="191"/>
      <c r="AD44" s="191"/>
      <c r="AE44" s="191"/>
    </row>
    <row r="45" spans="1:31" ht="15.75" customHeight="1" hidden="1">
      <c r="A45" s="205"/>
      <c r="B45" s="206" t="s">
        <v>560</v>
      </c>
      <c r="C45" s="535"/>
      <c r="D45" s="201"/>
      <c r="E45" s="202"/>
      <c r="F45" s="202"/>
      <c r="G45" s="214"/>
      <c r="H45" s="214"/>
      <c r="I45" s="214"/>
      <c r="J45" s="330"/>
      <c r="K45" s="210" t="s">
        <v>557</v>
      </c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191"/>
      <c r="AB45" s="191"/>
      <c r="AC45" s="191"/>
      <c r="AD45" s="191"/>
      <c r="AE45" s="191"/>
    </row>
    <row r="46" spans="1:31" ht="15.75" customHeight="1" hidden="1">
      <c r="A46" s="205"/>
      <c r="B46" s="206" t="s">
        <v>561</v>
      </c>
      <c r="C46" s="201" t="s">
        <v>562</v>
      </c>
      <c r="D46" s="201"/>
      <c r="E46" s="202" t="s">
        <v>562</v>
      </c>
      <c r="F46" s="202" t="s">
        <v>562</v>
      </c>
      <c r="G46" s="214" t="s">
        <v>562</v>
      </c>
      <c r="H46" s="214" t="s">
        <v>562</v>
      </c>
      <c r="I46" s="214" t="s">
        <v>562</v>
      </c>
      <c r="J46" s="330"/>
      <c r="K46" s="202" t="s">
        <v>562</v>
      </c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191"/>
      <c r="AB46" s="191"/>
      <c r="AC46" s="191"/>
      <c r="AD46" s="191"/>
      <c r="AE46" s="191"/>
    </row>
    <row r="47" spans="1:31" ht="15.75" customHeight="1" hidden="1">
      <c r="A47" s="205"/>
      <c r="B47" s="206" t="s">
        <v>556</v>
      </c>
      <c r="C47" s="201"/>
      <c r="D47" s="201"/>
      <c r="E47" s="202"/>
      <c r="F47" s="202"/>
      <c r="G47" s="214"/>
      <c r="H47" s="214"/>
      <c r="I47" s="214"/>
      <c r="J47" s="202">
        <f>(C47*D47*(1+H47/100)*I47*12)</f>
        <v>0</v>
      </c>
      <c r="K47" s="210" t="s">
        <v>563</v>
      </c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191"/>
      <c r="AB47" s="191"/>
      <c r="AC47" s="191"/>
      <c r="AD47" s="191"/>
      <c r="AE47" s="191"/>
    </row>
    <row r="48" spans="1:31" ht="15.75" customHeight="1" hidden="1">
      <c r="A48" s="205"/>
      <c r="B48" s="206" t="s">
        <v>558</v>
      </c>
      <c r="C48" s="201"/>
      <c r="D48" s="201"/>
      <c r="E48" s="202"/>
      <c r="F48" s="202"/>
      <c r="G48" s="214"/>
      <c r="H48" s="214"/>
      <c r="I48" s="214"/>
      <c r="J48" s="202">
        <f>(C48*D48*(1+H48/100)*I48*12)</f>
        <v>0</v>
      </c>
      <c r="K48" s="210" t="s">
        <v>563</v>
      </c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191"/>
      <c r="AB48" s="191"/>
      <c r="AC48" s="191"/>
      <c r="AD48" s="191"/>
      <c r="AE48" s="191"/>
    </row>
    <row r="49" spans="1:31" ht="15.75" customHeight="1" hidden="1">
      <c r="A49" s="205"/>
      <c r="B49" s="206" t="s">
        <v>559</v>
      </c>
      <c r="C49" s="201"/>
      <c r="D49" s="201"/>
      <c r="E49" s="202"/>
      <c r="F49" s="202"/>
      <c r="G49" s="214"/>
      <c r="H49" s="214"/>
      <c r="I49" s="214"/>
      <c r="J49" s="202">
        <f>(C49*D49*(1+H49/100)*I49*12)</f>
        <v>0</v>
      </c>
      <c r="K49" s="210" t="s">
        <v>563</v>
      </c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191"/>
      <c r="AB49" s="191"/>
      <c r="AC49" s="191"/>
      <c r="AD49" s="191"/>
      <c r="AE49" s="191"/>
    </row>
    <row r="50" spans="1:31" ht="15.75" customHeight="1" hidden="1">
      <c r="A50" s="205"/>
      <c r="B50" s="206" t="s">
        <v>560</v>
      </c>
      <c r="C50" s="201"/>
      <c r="D50" s="201"/>
      <c r="E50" s="202"/>
      <c r="F50" s="202"/>
      <c r="G50" s="214"/>
      <c r="H50" s="214"/>
      <c r="I50" s="214"/>
      <c r="J50" s="202">
        <f>(C50*D50*(1+H50/100)*I50*12)</f>
        <v>0</v>
      </c>
      <c r="K50" s="210" t="s">
        <v>563</v>
      </c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191"/>
      <c r="AB50" s="191"/>
      <c r="AC50" s="191"/>
      <c r="AD50" s="191"/>
      <c r="AE50" s="191"/>
    </row>
    <row r="51" spans="1:31" ht="15.75" customHeight="1" hidden="1">
      <c r="A51" s="205"/>
      <c r="B51" s="206" t="s">
        <v>561</v>
      </c>
      <c r="C51" s="201" t="s">
        <v>562</v>
      </c>
      <c r="D51" s="201"/>
      <c r="E51" s="202" t="s">
        <v>562</v>
      </c>
      <c r="F51" s="202" t="s">
        <v>562</v>
      </c>
      <c r="G51" s="214" t="s">
        <v>562</v>
      </c>
      <c r="H51" s="214" t="s">
        <v>562</v>
      </c>
      <c r="I51" s="214" t="s">
        <v>562</v>
      </c>
      <c r="J51" s="202">
        <f>SUM(J47:J50)</f>
        <v>0</v>
      </c>
      <c r="K51" s="202" t="s">
        <v>562</v>
      </c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11" ht="15.75" customHeight="1" hidden="1">
      <c r="A52" s="736" t="s">
        <v>561</v>
      </c>
      <c r="B52" s="737"/>
      <c r="C52" s="520"/>
      <c r="D52" s="216"/>
      <c r="E52" s="216"/>
      <c r="F52" s="216"/>
      <c r="G52" s="216"/>
      <c r="H52" s="216"/>
      <c r="I52" s="216"/>
      <c r="J52" s="217">
        <f>J46+J51</f>
        <v>0</v>
      </c>
      <c r="K52" s="218"/>
    </row>
    <row r="53" spans="1:12" ht="15.75" customHeight="1" hidden="1">
      <c r="A53" s="191"/>
      <c r="B53" s="219"/>
      <c r="C53" s="220"/>
      <c r="D53" s="219"/>
      <c r="E53" s="219"/>
      <c r="F53" s="219"/>
      <c r="G53" s="219"/>
      <c r="H53" s="219"/>
      <c r="I53" s="219"/>
      <c r="J53" s="221"/>
      <c r="K53" s="222"/>
      <c r="L53" s="390"/>
    </row>
    <row r="54" spans="1:12" ht="15.75" customHeight="1">
      <c r="A54" s="191"/>
      <c r="B54" s="219"/>
      <c r="C54" s="220"/>
      <c r="D54" s="219"/>
      <c r="E54" s="219"/>
      <c r="F54" s="219"/>
      <c r="G54" s="219"/>
      <c r="H54" s="219"/>
      <c r="I54" s="219"/>
      <c r="J54" s="221"/>
      <c r="K54" s="222"/>
      <c r="L54" s="390"/>
    </row>
    <row r="55" spans="1:11" ht="208.5" customHeight="1">
      <c r="A55" s="738" t="s">
        <v>564</v>
      </c>
      <c r="B55" s="738"/>
      <c r="C55" s="738"/>
      <c r="D55" s="738"/>
      <c r="E55" s="738"/>
      <c r="F55" s="738"/>
      <c r="G55" s="738"/>
      <c r="H55" s="738"/>
      <c r="I55" s="738"/>
      <c r="J55" s="738"/>
      <c r="K55" s="738"/>
    </row>
    <row r="56" spans="2:11" ht="15.75" customHeight="1">
      <c r="B56" s="728"/>
      <c r="C56" s="728"/>
      <c r="D56" s="728"/>
      <c r="E56" s="728"/>
      <c r="F56" s="728"/>
      <c r="G56" s="728"/>
      <c r="H56" s="728"/>
      <c r="I56" s="728"/>
      <c r="J56" s="728"/>
      <c r="K56" s="728"/>
    </row>
    <row r="57" spans="2:7" ht="15.75">
      <c r="B57" s="727" t="s">
        <v>825</v>
      </c>
      <c r="C57" s="727"/>
      <c r="D57" s="727"/>
      <c r="E57" s="727"/>
      <c r="F57" s="727"/>
      <c r="G57" s="727"/>
    </row>
    <row r="59" spans="1:9" ht="26.25" customHeight="1">
      <c r="A59" s="674" t="s">
        <v>545</v>
      </c>
      <c r="B59" s="676" t="s">
        <v>566</v>
      </c>
      <c r="C59" s="676" t="s">
        <v>573</v>
      </c>
      <c r="D59" s="676" t="s">
        <v>574</v>
      </c>
      <c r="E59" s="676" t="s">
        <v>575</v>
      </c>
      <c r="F59" s="652" t="s">
        <v>570</v>
      </c>
      <c r="G59" s="652"/>
      <c r="H59" s="652"/>
      <c r="I59" s="225"/>
    </row>
    <row r="60" spans="1:9" ht="51" customHeight="1">
      <c r="A60" s="675"/>
      <c r="B60" s="677"/>
      <c r="C60" s="677"/>
      <c r="D60" s="677"/>
      <c r="E60" s="677"/>
      <c r="F60" s="226" t="s">
        <v>33</v>
      </c>
      <c r="G60" s="226" t="s">
        <v>557</v>
      </c>
      <c r="H60" s="226" t="s">
        <v>563</v>
      </c>
      <c r="I60" s="227"/>
    </row>
    <row r="61" spans="1:9" ht="15.75">
      <c r="A61" s="205">
        <v>1</v>
      </c>
      <c r="B61" s="228">
        <v>2</v>
      </c>
      <c r="C61" s="228">
        <v>3</v>
      </c>
      <c r="D61" s="228">
        <v>4</v>
      </c>
      <c r="E61" s="228">
        <v>5</v>
      </c>
      <c r="F61" s="228">
        <v>6</v>
      </c>
      <c r="G61" s="228">
        <v>7</v>
      </c>
      <c r="H61" s="228">
        <v>8</v>
      </c>
      <c r="I61" s="230"/>
    </row>
    <row r="62" spans="1:9" ht="15.75">
      <c r="A62" s="205">
        <v>1</v>
      </c>
      <c r="B62" s="199" t="s">
        <v>824</v>
      </c>
      <c r="C62" s="205"/>
      <c r="D62" s="205"/>
      <c r="E62" s="205"/>
      <c r="F62" s="354">
        <f>H62</f>
        <v>18079.2</v>
      </c>
      <c r="G62" s="354"/>
      <c r="H62" s="354">
        <f>2*9039.6</f>
        <v>18079.2</v>
      </c>
      <c r="I62" s="191"/>
    </row>
    <row r="63" spans="1:9" ht="15.75">
      <c r="A63" s="205">
        <v>2</v>
      </c>
      <c r="B63" s="199" t="s">
        <v>824</v>
      </c>
      <c r="C63" s="205"/>
      <c r="D63" s="205"/>
      <c r="E63" s="205"/>
      <c r="F63" s="264">
        <f>G63</f>
        <v>24105.6</v>
      </c>
      <c r="G63" s="354">
        <f>2*12052.8</f>
        <v>24105.6</v>
      </c>
      <c r="H63" s="354"/>
      <c r="I63" s="191"/>
    </row>
    <row r="64" spans="1:9" ht="15.75">
      <c r="A64" s="649" t="s">
        <v>571</v>
      </c>
      <c r="B64" s="651"/>
      <c r="C64" s="199" t="s">
        <v>562</v>
      </c>
      <c r="D64" s="199" t="s">
        <v>562</v>
      </c>
      <c r="E64" s="199" t="s">
        <v>562</v>
      </c>
      <c r="F64" s="264">
        <f>F63+F62</f>
        <v>42184.8</v>
      </c>
      <c r="G64" s="354">
        <f>G63</f>
        <v>24105.6</v>
      </c>
      <c r="H64" s="354">
        <f>H62</f>
        <v>18079.2</v>
      </c>
      <c r="I64" s="191"/>
    </row>
    <row r="65" spans="2:11" ht="15.75" customHeight="1">
      <c r="B65" s="510"/>
      <c r="C65" s="510"/>
      <c r="D65" s="510"/>
      <c r="E65" s="510"/>
      <c r="F65" s="510"/>
      <c r="G65" s="510"/>
      <c r="H65" s="510"/>
      <c r="I65" s="510"/>
      <c r="J65" s="510"/>
      <c r="K65" s="510"/>
    </row>
    <row r="66" spans="2:11" ht="15.75" customHeight="1">
      <c r="B66" s="510"/>
      <c r="C66" s="510"/>
      <c r="D66" s="510"/>
      <c r="E66" s="510"/>
      <c r="F66" s="510"/>
      <c r="G66" s="510"/>
      <c r="H66" s="510"/>
      <c r="I66" s="510"/>
      <c r="J66" s="510"/>
      <c r="K66" s="510"/>
    </row>
    <row r="67" spans="2:11" ht="15.75" customHeight="1">
      <c r="B67" s="510"/>
      <c r="C67" s="510"/>
      <c r="D67" s="510"/>
      <c r="E67" s="510"/>
      <c r="F67" s="510"/>
      <c r="G67" s="510"/>
      <c r="H67" s="510"/>
      <c r="I67" s="510"/>
      <c r="J67" s="510"/>
      <c r="K67" s="510"/>
    </row>
    <row r="68" spans="2:9" ht="21" customHeight="1" hidden="1">
      <c r="B68" s="729" t="s">
        <v>565</v>
      </c>
      <c r="C68" s="729"/>
      <c r="D68" s="729"/>
      <c r="E68" s="729"/>
      <c r="F68" s="729"/>
      <c r="G68" s="729"/>
      <c r="H68" s="729"/>
      <c r="I68" s="729"/>
    </row>
    <row r="69" ht="15.75" hidden="1"/>
    <row r="70" spans="1:9" ht="26.25" customHeight="1" hidden="1">
      <c r="A70" s="674" t="s">
        <v>545</v>
      </c>
      <c r="B70" s="676" t="s">
        <v>566</v>
      </c>
      <c r="C70" s="676" t="s">
        <v>567</v>
      </c>
      <c r="D70" s="676" t="s">
        <v>568</v>
      </c>
      <c r="E70" s="676" t="s">
        <v>569</v>
      </c>
      <c r="F70" s="716" t="s">
        <v>570</v>
      </c>
      <c r="G70" s="717"/>
      <c r="H70" s="718"/>
      <c r="I70" s="225"/>
    </row>
    <row r="71" spans="1:9" ht="39.75" customHeight="1" hidden="1">
      <c r="A71" s="675"/>
      <c r="B71" s="677"/>
      <c r="C71" s="677"/>
      <c r="D71" s="677"/>
      <c r="E71" s="677"/>
      <c r="F71" s="226" t="s">
        <v>33</v>
      </c>
      <c r="G71" s="224" t="s">
        <v>557</v>
      </c>
      <c r="H71" s="226" t="s">
        <v>563</v>
      </c>
      <c r="I71" s="227"/>
    </row>
    <row r="72" spans="1:9" ht="15.75" hidden="1">
      <c r="A72" s="205">
        <v>1</v>
      </c>
      <c r="B72" s="228">
        <v>2</v>
      </c>
      <c r="C72" s="228">
        <v>3</v>
      </c>
      <c r="D72" s="228">
        <v>4</v>
      </c>
      <c r="E72" s="228">
        <v>5</v>
      </c>
      <c r="F72" s="228">
        <v>6</v>
      </c>
      <c r="G72" s="229">
        <v>7</v>
      </c>
      <c r="H72" s="228">
        <v>8</v>
      </c>
      <c r="I72" s="230"/>
    </row>
    <row r="73" spans="1:9" ht="15.75" hidden="1">
      <c r="A73" s="205"/>
      <c r="B73" s="199"/>
      <c r="C73" s="205"/>
      <c r="D73" s="205"/>
      <c r="E73" s="205"/>
      <c r="F73" s="231"/>
      <c r="G73" s="232"/>
      <c r="H73" s="231"/>
      <c r="I73" s="191"/>
    </row>
    <row r="74" spans="1:9" ht="15.75" hidden="1">
      <c r="A74" s="205"/>
      <c r="B74" s="199"/>
      <c r="C74" s="205"/>
      <c r="D74" s="205"/>
      <c r="E74" s="205"/>
      <c r="F74" s="205"/>
      <c r="G74" s="232"/>
      <c r="H74" s="231"/>
      <c r="I74" s="191"/>
    </row>
    <row r="75" spans="1:9" ht="15.75" hidden="1">
      <c r="A75" s="649" t="s">
        <v>571</v>
      </c>
      <c r="B75" s="651"/>
      <c r="C75" s="199" t="s">
        <v>562</v>
      </c>
      <c r="D75" s="199" t="s">
        <v>562</v>
      </c>
      <c r="E75" s="199" t="s">
        <v>562</v>
      </c>
      <c r="F75" s="205"/>
      <c r="G75" s="232"/>
      <c r="H75" s="231"/>
      <c r="I75" s="191"/>
    </row>
    <row r="77" spans="2:6" ht="15.75">
      <c r="B77" s="727" t="s">
        <v>572</v>
      </c>
      <c r="C77" s="727"/>
      <c r="D77" s="727"/>
      <c r="E77" s="727"/>
      <c r="F77" s="727"/>
    </row>
    <row r="79" spans="1:9" ht="26.25" customHeight="1">
      <c r="A79" s="674" t="s">
        <v>545</v>
      </c>
      <c r="B79" s="676" t="s">
        <v>566</v>
      </c>
      <c r="C79" s="676" t="s">
        <v>573</v>
      </c>
      <c r="D79" s="676" t="s">
        <v>574</v>
      </c>
      <c r="E79" s="676" t="s">
        <v>575</v>
      </c>
      <c r="F79" s="652" t="s">
        <v>570</v>
      </c>
      <c r="G79" s="652"/>
      <c r="H79" s="652"/>
      <c r="I79" s="225"/>
    </row>
    <row r="80" spans="1:9" ht="51" customHeight="1">
      <c r="A80" s="675"/>
      <c r="B80" s="677"/>
      <c r="C80" s="677"/>
      <c r="D80" s="677"/>
      <c r="E80" s="677"/>
      <c r="F80" s="226" t="s">
        <v>33</v>
      </c>
      <c r="G80" s="226" t="s">
        <v>557</v>
      </c>
      <c r="H80" s="226" t="s">
        <v>563</v>
      </c>
      <c r="I80" s="227"/>
    </row>
    <row r="81" spans="1:9" ht="15.75">
      <c r="A81" s="205">
        <v>1</v>
      </c>
      <c r="B81" s="228">
        <v>2</v>
      </c>
      <c r="C81" s="228">
        <v>3</v>
      </c>
      <c r="D81" s="228">
        <v>4</v>
      </c>
      <c r="E81" s="228">
        <v>5</v>
      </c>
      <c r="F81" s="228">
        <v>6</v>
      </c>
      <c r="G81" s="228">
        <v>7</v>
      </c>
      <c r="H81" s="228">
        <v>8</v>
      </c>
      <c r="I81" s="230"/>
    </row>
    <row r="82" spans="1:9" ht="47.25">
      <c r="A82" s="231">
        <v>1</v>
      </c>
      <c r="B82" s="536" t="s">
        <v>924</v>
      </c>
      <c r="C82" s="231" t="s">
        <v>754</v>
      </c>
      <c r="D82" s="231" t="s">
        <v>754</v>
      </c>
      <c r="E82" s="231" t="s">
        <v>754</v>
      </c>
      <c r="F82" s="354">
        <f>SUM(G82:H82)</f>
        <v>100000</v>
      </c>
      <c r="G82" s="354">
        <v>100000</v>
      </c>
      <c r="H82" s="231"/>
      <c r="I82" s="191"/>
    </row>
    <row r="83" spans="1:9" ht="15.75">
      <c r="A83" s="205"/>
      <c r="B83" s="199"/>
      <c r="C83" s="205"/>
      <c r="D83" s="205"/>
      <c r="E83" s="205"/>
      <c r="F83" s="205"/>
      <c r="G83" s="231"/>
      <c r="H83" s="231"/>
      <c r="I83" s="191"/>
    </row>
    <row r="84" spans="1:9" ht="15.75">
      <c r="A84" s="649" t="s">
        <v>571</v>
      </c>
      <c r="B84" s="651"/>
      <c r="C84" s="199" t="s">
        <v>562</v>
      </c>
      <c r="D84" s="199" t="s">
        <v>562</v>
      </c>
      <c r="E84" s="199" t="s">
        <v>562</v>
      </c>
      <c r="F84" s="355">
        <f>F82</f>
        <v>100000</v>
      </c>
      <c r="G84" s="354">
        <f>G82</f>
        <v>100000</v>
      </c>
      <c r="H84" s="231"/>
      <c r="I84" s="191"/>
    </row>
    <row r="86" spans="2:6" ht="15.75" hidden="1">
      <c r="B86" s="727" t="s">
        <v>923</v>
      </c>
      <c r="C86" s="727"/>
      <c r="D86" s="727"/>
      <c r="E86" s="727"/>
      <c r="F86" s="727"/>
    </row>
    <row r="87" ht="15.75" hidden="1"/>
    <row r="88" spans="1:9" ht="15.75" hidden="1">
      <c r="A88" s="674" t="s">
        <v>545</v>
      </c>
      <c r="B88" s="676" t="s">
        <v>566</v>
      </c>
      <c r="C88" s="676" t="s">
        <v>573</v>
      </c>
      <c r="D88" s="676" t="s">
        <v>574</v>
      </c>
      <c r="E88" s="676" t="s">
        <v>575</v>
      </c>
      <c r="F88" s="652" t="s">
        <v>570</v>
      </c>
      <c r="G88" s="652"/>
      <c r="H88" s="652"/>
      <c r="I88" s="225"/>
    </row>
    <row r="89" spans="1:9" ht="31.5" hidden="1">
      <c r="A89" s="675"/>
      <c r="B89" s="677"/>
      <c r="C89" s="677"/>
      <c r="D89" s="677"/>
      <c r="E89" s="677"/>
      <c r="F89" s="226" t="s">
        <v>33</v>
      </c>
      <c r="G89" s="226" t="s">
        <v>557</v>
      </c>
      <c r="H89" s="226" t="s">
        <v>563</v>
      </c>
      <c r="I89" s="227"/>
    </row>
    <row r="90" spans="1:9" ht="15.75" hidden="1">
      <c r="A90" s="205">
        <v>1</v>
      </c>
      <c r="B90" s="228">
        <v>2</v>
      </c>
      <c r="C90" s="228">
        <v>3</v>
      </c>
      <c r="D90" s="228">
        <v>4</v>
      </c>
      <c r="E90" s="228">
        <v>5</v>
      </c>
      <c r="F90" s="228">
        <v>6</v>
      </c>
      <c r="G90" s="228">
        <v>7</v>
      </c>
      <c r="H90" s="228">
        <v>8</v>
      </c>
      <c r="I90" s="230"/>
    </row>
    <row r="91" spans="1:9" ht="47.25" hidden="1">
      <c r="A91" s="231">
        <v>1</v>
      </c>
      <c r="B91" s="536" t="s">
        <v>924</v>
      </c>
      <c r="C91" s="231" t="s">
        <v>754</v>
      </c>
      <c r="D91" s="231" t="s">
        <v>754</v>
      </c>
      <c r="E91" s="231" t="s">
        <v>754</v>
      </c>
      <c r="F91" s="354">
        <f>SUM(G91:H91)</f>
        <v>0</v>
      </c>
      <c r="G91" s="354"/>
      <c r="H91" s="354">
        <v>0</v>
      </c>
      <c r="I91" s="191"/>
    </row>
    <row r="92" spans="1:9" ht="16.5" hidden="1">
      <c r="A92" s="649" t="s">
        <v>571</v>
      </c>
      <c r="B92" s="651"/>
      <c r="C92" s="199" t="s">
        <v>562</v>
      </c>
      <c r="D92" s="199" t="s">
        <v>562</v>
      </c>
      <c r="E92" s="199" t="s">
        <v>562</v>
      </c>
      <c r="F92" s="521">
        <f>SUM(F91)</f>
        <v>0</v>
      </c>
      <c r="G92" s="521">
        <f>SUM(G91)</f>
        <v>0</v>
      </c>
      <c r="H92" s="521">
        <f>SUM(H91)</f>
        <v>0</v>
      </c>
      <c r="I92" s="191"/>
    </row>
    <row r="94" spans="2:9" ht="33" customHeight="1">
      <c r="B94" s="726" t="s">
        <v>576</v>
      </c>
      <c r="C94" s="726"/>
      <c r="D94" s="726"/>
      <c r="E94" s="726"/>
      <c r="F94" s="726"/>
      <c r="G94" s="726"/>
      <c r="H94" s="726"/>
      <c r="I94" s="726"/>
    </row>
    <row r="96" spans="1:9" ht="31.5" customHeight="1">
      <c r="A96" s="670" t="s">
        <v>545</v>
      </c>
      <c r="B96" s="652" t="s">
        <v>577</v>
      </c>
      <c r="C96" s="652"/>
      <c r="D96" s="652"/>
      <c r="E96" s="676" t="s">
        <v>578</v>
      </c>
      <c r="F96" s="652" t="s">
        <v>579</v>
      </c>
      <c r="G96" s="652"/>
      <c r="H96" s="652"/>
      <c r="I96" s="233"/>
    </row>
    <row r="97" spans="1:9" ht="31.5" customHeight="1">
      <c r="A97" s="671"/>
      <c r="B97" s="652"/>
      <c r="C97" s="652"/>
      <c r="D97" s="652"/>
      <c r="E97" s="677"/>
      <c r="F97" s="226" t="s">
        <v>580</v>
      </c>
      <c r="G97" s="226" t="s">
        <v>557</v>
      </c>
      <c r="H97" s="226" t="s">
        <v>563</v>
      </c>
      <c r="I97" s="227"/>
    </row>
    <row r="98" spans="1:9" ht="17.25" customHeight="1">
      <c r="A98" s="234">
        <v>1</v>
      </c>
      <c r="B98" s="725">
        <v>2</v>
      </c>
      <c r="C98" s="725"/>
      <c r="D98" s="725"/>
      <c r="E98" s="199">
        <v>3</v>
      </c>
      <c r="F98" s="199">
        <v>4</v>
      </c>
      <c r="G98" s="199">
        <v>5</v>
      </c>
      <c r="H98" s="199">
        <v>6</v>
      </c>
      <c r="I98" s="236"/>
    </row>
    <row r="99" spans="1:9" s="187" customFormat="1" ht="32.25" customHeight="1">
      <c r="A99" s="237">
        <v>1</v>
      </c>
      <c r="B99" s="722" t="s">
        <v>581</v>
      </c>
      <c r="C99" s="723"/>
      <c r="D99" s="724"/>
      <c r="E99" s="231" t="s">
        <v>562</v>
      </c>
      <c r="F99" s="231"/>
      <c r="G99" s="231"/>
      <c r="H99" s="231"/>
      <c r="I99" s="191"/>
    </row>
    <row r="100" spans="1:9" ht="34.5" customHeight="1">
      <c r="A100" s="237" t="s">
        <v>582</v>
      </c>
      <c r="B100" s="722" t="s">
        <v>583</v>
      </c>
      <c r="C100" s="723"/>
      <c r="D100" s="724"/>
      <c r="E100" s="238">
        <f>J19</f>
        <v>2791597.5840000003</v>
      </c>
      <c r="F100" s="238">
        <f>SUM(G100:H100)</f>
        <v>614147.4</v>
      </c>
      <c r="G100" s="238">
        <f>ROUND(E100*22%,2)-0.62-2.1-1.35</f>
        <v>614147.4</v>
      </c>
      <c r="H100" s="205"/>
      <c r="I100" s="191"/>
    </row>
    <row r="101" spans="1:9" ht="16.5" customHeight="1">
      <c r="A101" s="237" t="s">
        <v>584</v>
      </c>
      <c r="B101" s="722" t="s">
        <v>585</v>
      </c>
      <c r="C101" s="723"/>
      <c r="D101" s="724"/>
      <c r="E101" s="239">
        <v>0</v>
      </c>
      <c r="F101" s="239"/>
      <c r="G101" s="239"/>
      <c r="H101" s="205"/>
      <c r="I101" s="191"/>
    </row>
    <row r="102" spans="1:9" ht="34.5" customHeight="1">
      <c r="A102" s="237" t="s">
        <v>586</v>
      </c>
      <c r="B102" s="722" t="s">
        <v>587</v>
      </c>
      <c r="C102" s="723"/>
      <c r="D102" s="724"/>
      <c r="E102" s="239">
        <v>0</v>
      </c>
      <c r="F102" s="239"/>
      <c r="G102" s="239"/>
      <c r="H102" s="205"/>
      <c r="I102" s="191"/>
    </row>
    <row r="103" spans="1:9" ht="33" customHeight="1">
      <c r="A103" s="237" t="s">
        <v>588</v>
      </c>
      <c r="B103" s="722" t="s">
        <v>589</v>
      </c>
      <c r="C103" s="723"/>
      <c r="D103" s="724"/>
      <c r="E103" s="238">
        <f>SUM(F103:G103)</f>
        <v>0</v>
      </c>
      <c r="F103" s="238">
        <f>SUM(G103:H103)</f>
        <v>0</v>
      </c>
      <c r="G103" s="239"/>
      <c r="H103" s="205"/>
      <c r="I103" s="191"/>
    </row>
    <row r="104" spans="1:9" ht="41.25" customHeight="1">
      <c r="A104" s="237" t="s">
        <v>590</v>
      </c>
      <c r="B104" s="719" t="s">
        <v>591</v>
      </c>
      <c r="C104" s="720"/>
      <c r="D104" s="721"/>
      <c r="E104" s="238">
        <f>E100</f>
        <v>2791597.5840000003</v>
      </c>
      <c r="F104" s="238">
        <f>SUM(G104:H104)</f>
        <v>80956.33</v>
      </c>
      <c r="G104" s="238">
        <f>ROUND(E104*2.9%,2)</f>
        <v>80956.33</v>
      </c>
      <c r="H104" s="205"/>
      <c r="I104" s="191"/>
    </row>
    <row r="105" spans="1:9" ht="34.5" customHeight="1">
      <c r="A105" s="237" t="s">
        <v>592</v>
      </c>
      <c r="B105" s="722" t="s">
        <v>593</v>
      </c>
      <c r="C105" s="723"/>
      <c r="D105" s="724"/>
      <c r="E105" s="239">
        <v>0</v>
      </c>
      <c r="F105" s="239"/>
      <c r="G105" s="239"/>
      <c r="H105" s="205"/>
      <c r="I105" s="191"/>
    </row>
    <row r="106" spans="1:9" ht="33.75" customHeight="1">
      <c r="A106" s="237" t="s">
        <v>594</v>
      </c>
      <c r="B106" s="722" t="s">
        <v>595</v>
      </c>
      <c r="C106" s="723"/>
      <c r="D106" s="724"/>
      <c r="E106" s="238">
        <f>E104</f>
        <v>2791597.5840000003</v>
      </c>
      <c r="F106" s="238">
        <f>SUM(G106:H106)</f>
        <v>5583.2</v>
      </c>
      <c r="G106" s="238">
        <f>ROUND(E106*0.2%,2)</f>
        <v>5583.2</v>
      </c>
      <c r="H106" s="205"/>
      <c r="I106" s="191"/>
    </row>
    <row r="107" spans="1:9" ht="33.75" customHeight="1">
      <c r="A107" s="237" t="s">
        <v>596</v>
      </c>
      <c r="B107" s="722" t="s">
        <v>597</v>
      </c>
      <c r="C107" s="723"/>
      <c r="D107" s="724"/>
      <c r="E107" s="239">
        <v>0</v>
      </c>
      <c r="F107" s="239"/>
      <c r="G107" s="239"/>
      <c r="H107" s="205"/>
      <c r="I107" s="191"/>
    </row>
    <row r="108" spans="1:9" ht="39.75" customHeight="1">
      <c r="A108" s="237" t="s">
        <v>598</v>
      </c>
      <c r="B108" s="722" t="s">
        <v>597</v>
      </c>
      <c r="C108" s="723"/>
      <c r="D108" s="724"/>
      <c r="E108" s="239">
        <v>0</v>
      </c>
      <c r="F108" s="239"/>
      <c r="G108" s="239"/>
      <c r="H108" s="205"/>
      <c r="I108" s="191"/>
    </row>
    <row r="109" spans="1:9" ht="30" customHeight="1">
      <c r="A109" s="237" t="s">
        <v>599</v>
      </c>
      <c r="B109" s="722" t="s">
        <v>600</v>
      </c>
      <c r="C109" s="723"/>
      <c r="D109" s="724"/>
      <c r="E109" s="238">
        <f>E106</f>
        <v>2791597.5840000003</v>
      </c>
      <c r="F109" s="238">
        <f>SUM(G109:H109)</f>
        <v>142371.48</v>
      </c>
      <c r="G109" s="238">
        <f>ROUND(E109*5.1%,2)</f>
        <v>142371.48</v>
      </c>
      <c r="H109" s="205"/>
      <c r="I109" s="191"/>
    </row>
    <row r="110" spans="1:9" ht="30" customHeight="1">
      <c r="A110" s="237"/>
      <c r="B110" s="722" t="s">
        <v>581</v>
      </c>
      <c r="C110" s="723"/>
      <c r="D110" s="724"/>
      <c r="E110" s="231" t="s">
        <v>562</v>
      </c>
      <c r="F110" s="231">
        <f>SUM(G110:H110)</f>
        <v>118081.58</v>
      </c>
      <c r="G110" s="231">
        <f>SUM(G111:G112)</f>
        <v>118081.58</v>
      </c>
      <c r="H110" s="231">
        <f>SUM(H111:H112)</f>
        <v>0</v>
      </c>
      <c r="I110" s="191"/>
    </row>
    <row r="111" spans="1:9" ht="30" customHeight="1">
      <c r="A111" s="237"/>
      <c r="B111" s="722" t="s">
        <v>583</v>
      </c>
      <c r="C111" s="723"/>
      <c r="D111" s="724"/>
      <c r="E111" s="231">
        <v>536734.44</v>
      </c>
      <c r="F111" s="231">
        <f>SUM(G111:H111)</f>
        <v>118081.58</v>
      </c>
      <c r="G111" s="231">
        <v>118081.58</v>
      </c>
      <c r="H111" s="231">
        <v>0</v>
      </c>
      <c r="I111" s="191"/>
    </row>
    <row r="112" spans="1:9" ht="30" customHeight="1">
      <c r="A112" s="237"/>
      <c r="B112" s="722" t="s">
        <v>585</v>
      </c>
      <c r="C112" s="723"/>
      <c r="D112" s="724"/>
      <c r="E112" s="205"/>
      <c r="F112" s="231"/>
      <c r="G112" s="231"/>
      <c r="H112" s="231"/>
      <c r="I112" s="191"/>
    </row>
    <row r="113" spans="1:9" ht="30" customHeight="1">
      <c r="A113" s="237"/>
      <c r="B113" s="722" t="s">
        <v>587</v>
      </c>
      <c r="C113" s="723"/>
      <c r="D113" s="724"/>
      <c r="E113" s="205"/>
      <c r="F113" s="231"/>
      <c r="G113" s="231"/>
      <c r="H113" s="231"/>
      <c r="I113" s="191"/>
    </row>
    <row r="114" spans="1:9" ht="30" customHeight="1">
      <c r="A114" s="237"/>
      <c r="B114" s="722" t="s">
        <v>589</v>
      </c>
      <c r="C114" s="723"/>
      <c r="D114" s="724"/>
      <c r="E114" s="231" t="s">
        <v>562</v>
      </c>
      <c r="F114" s="231">
        <f>SUM(G114:H114)</f>
        <v>16638.08</v>
      </c>
      <c r="G114" s="231">
        <f>SUM(G115+G117)</f>
        <v>16638.08</v>
      </c>
      <c r="H114" s="231">
        <f>SUM(H115+H117)</f>
        <v>0</v>
      </c>
      <c r="I114" s="191"/>
    </row>
    <row r="115" spans="1:9" ht="30" customHeight="1">
      <c r="A115" s="237"/>
      <c r="B115" s="719" t="s">
        <v>591</v>
      </c>
      <c r="C115" s="720"/>
      <c r="D115" s="721"/>
      <c r="E115" s="231">
        <v>536734.44</v>
      </c>
      <c r="F115" s="231">
        <f>SUM(G115:H115)</f>
        <v>15564.61</v>
      </c>
      <c r="G115" s="231">
        <v>15564.61</v>
      </c>
      <c r="H115" s="231">
        <v>0</v>
      </c>
      <c r="I115" s="191"/>
    </row>
    <row r="116" spans="1:9" ht="30" customHeight="1">
      <c r="A116" s="237"/>
      <c r="B116" s="722" t="s">
        <v>593</v>
      </c>
      <c r="C116" s="723"/>
      <c r="D116" s="724"/>
      <c r="E116" s="205"/>
      <c r="F116" s="231"/>
      <c r="G116" s="231"/>
      <c r="H116" s="231"/>
      <c r="I116" s="191"/>
    </row>
    <row r="117" spans="1:9" ht="30" customHeight="1">
      <c r="A117" s="237"/>
      <c r="B117" s="722" t="s">
        <v>595</v>
      </c>
      <c r="C117" s="723"/>
      <c r="D117" s="724"/>
      <c r="E117" s="231">
        <v>536734.44</v>
      </c>
      <c r="F117" s="231">
        <f>SUM(G117:H117)</f>
        <v>1073.47</v>
      </c>
      <c r="G117" s="231">
        <v>1073.47</v>
      </c>
      <c r="H117" s="231">
        <v>0</v>
      </c>
      <c r="I117" s="191"/>
    </row>
    <row r="118" spans="1:9" ht="30" customHeight="1">
      <c r="A118" s="237"/>
      <c r="B118" s="722" t="s">
        <v>597</v>
      </c>
      <c r="C118" s="723"/>
      <c r="D118" s="724"/>
      <c r="E118" s="205"/>
      <c r="F118" s="231"/>
      <c r="G118" s="231"/>
      <c r="H118" s="231"/>
      <c r="I118" s="191"/>
    </row>
    <row r="119" spans="1:9" ht="30" customHeight="1">
      <c r="A119" s="237"/>
      <c r="B119" s="722" t="s">
        <v>597</v>
      </c>
      <c r="C119" s="723"/>
      <c r="D119" s="724"/>
      <c r="E119" s="205"/>
      <c r="F119" s="231"/>
      <c r="G119" s="231"/>
      <c r="H119" s="231"/>
      <c r="I119" s="191"/>
    </row>
    <row r="120" spans="1:9" ht="30" customHeight="1">
      <c r="A120" s="237"/>
      <c r="B120" s="722" t="s">
        <v>600</v>
      </c>
      <c r="C120" s="723"/>
      <c r="D120" s="724"/>
      <c r="E120" s="231">
        <v>536734.44</v>
      </c>
      <c r="F120" s="231">
        <f>SUM(G120:H120)</f>
        <v>27373.46</v>
      </c>
      <c r="G120" s="231">
        <v>27373.46</v>
      </c>
      <c r="H120" s="231">
        <v>0</v>
      </c>
      <c r="I120" s="191"/>
    </row>
    <row r="121" spans="1:9" ht="30" customHeight="1">
      <c r="A121" s="237"/>
      <c r="B121" s="557"/>
      <c r="C121" s="558"/>
      <c r="D121" s="559"/>
      <c r="E121" s="238"/>
      <c r="F121" s="238"/>
      <c r="G121" s="238"/>
      <c r="H121" s="205"/>
      <c r="I121" s="191"/>
    </row>
    <row r="122" spans="1:9" ht="30" customHeight="1">
      <c r="A122" s="237"/>
      <c r="B122" s="557"/>
      <c r="C122" s="558"/>
      <c r="D122" s="559"/>
      <c r="E122" s="238"/>
      <c r="F122" s="238"/>
      <c r="G122" s="238"/>
      <c r="H122" s="205"/>
      <c r="I122" s="191"/>
    </row>
    <row r="123" spans="1:9" ht="30.75" customHeight="1">
      <c r="A123" s="712" t="s">
        <v>571</v>
      </c>
      <c r="B123" s="712"/>
      <c r="C123" s="712"/>
      <c r="D123" s="712"/>
      <c r="E123" s="239" t="s">
        <v>562</v>
      </c>
      <c r="F123" s="240">
        <f>SUM(F100:F109)+F111+F114+F120</f>
        <v>1005151.5299999998</v>
      </c>
      <c r="G123" s="240">
        <f>SUM(G100:G109)+G111+G114+G120</f>
        <v>1005151.5299999998</v>
      </c>
      <c r="H123" s="241">
        <f>H99+H103+H109</f>
        <v>0</v>
      </c>
      <c r="I123" s="191"/>
    </row>
    <row r="124" spans="2:6" ht="16.5" customHeight="1">
      <c r="B124" s="242"/>
      <c r="C124" s="242"/>
      <c r="D124" s="242"/>
      <c r="E124" s="236"/>
      <c r="F124" s="191"/>
    </row>
    <row r="125" spans="2:9" ht="16.5" customHeight="1" hidden="1">
      <c r="B125" s="726" t="s">
        <v>864</v>
      </c>
      <c r="C125" s="726"/>
      <c r="D125" s="726"/>
      <c r="E125" s="726"/>
      <c r="F125" s="726"/>
      <c r="G125" s="726"/>
      <c r="H125" s="726"/>
      <c r="I125" s="726"/>
    </row>
    <row r="126" ht="16.5" customHeight="1" hidden="1"/>
    <row r="127" spans="1:9" ht="16.5" customHeight="1" hidden="1">
      <c r="A127" s="670" t="s">
        <v>545</v>
      </c>
      <c r="B127" s="652" t="s">
        <v>577</v>
      </c>
      <c r="C127" s="652"/>
      <c r="D127" s="652"/>
      <c r="E127" s="676" t="s">
        <v>578</v>
      </c>
      <c r="F127" s="652" t="s">
        <v>579</v>
      </c>
      <c r="G127" s="652"/>
      <c r="H127" s="652"/>
      <c r="I127" s="233"/>
    </row>
    <row r="128" spans="1:9" ht="16.5" customHeight="1" hidden="1">
      <c r="A128" s="671"/>
      <c r="B128" s="652"/>
      <c r="C128" s="652"/>
      <c r="D128" s="652"/>
      <c r="E128" s="677"/>
      <c r="F128" s="226" t="s">
        <v>580</v>
      </c>
      <c r="G128" s="226" t="s">
        <v>557</v>
      </c>
      <c r="H128" s="226" t="s">
        <v>563</v>
      </c>
      <c r="I128" s="227"/>
    </row>
    <row r="129" spans="1:9" ht="16.5" customHeight="1" hidden="1">
      <c r="A129" s="234">
        <v>1</v>
      </c>
      <c r="B129" s="725">
        <v>2</v>
      </c>
      <c r="C129" s="725"/>
      <c r="D129" s="725"/>
      <c r="E129" s="199">
        <v>3</v>
      </c>
      <c r="F129" s="199">
        <v>4</v>
      </c>
      <c r="G129" s="199">
        <v>5</v>
      </c>
      <c r="H129" s="199">
        <v>6</v>
      </c>
      <c r="I129" s="236"/>
    </row>
    <row r="130" spans="1:9" s="187" customFormat="1" ht="20.25" customHeight="1" hidden="1">
      <c r="A130" s="237">
        <v>1</v>
      </c>
      <c r="B130" s="722" t="s">
        <v>581</v>
      </c>
      <c r="C130" s="723"/>
      <c r="D130" s="724"/>
      <c r="E130" s="231" t="s">
        <v>562</v>
      </c>
      <c r="F130" s="231"/>
      <c r="G130" s="231"/>
      <c r="H130" s="231">
        <f>SUM(H131:H132)</f>
        <v>0</v>
      </c>
      <c r="I130" s="191"/>
    </row>
    <row r="131" spans="1:9" ht="31.5" customHeight="1" hidden="1">
      <c r="A131" s="237" t="s">
        <v>582</v>
      </c>
      <c r="B131" s="722" t="s">
        <v>583</v>
      </c>
      <c r="C131" s="723"/>
      <c r="D131" s="724"/>
      <c r="E131" s="231">
        <v>536734.44</v>
      </c>
      <c r="F131" s="231"/>
      <c r="G131" s="231"/>
      <c r="H131" s="231">
        <v>0</v>
      </c>
      <c r="I131" s="191"/>
    </row>
    <row r="132" spans="1:9" ht="16.5" customHeight="1" hidden="1">
      <c r="A132" s="237" t="s">
        <v>584</v>
      </c>
      <c r="B132" s="722" t="s">
        <v>585</v>
      </c>
      <c r="C132" s="723"/>
      <c r="D132" s="724"/>
      <c r="E132" s="205"/>
      <c r="F132" s="231"/>
      <c r="G132" s="231"/>
      <c r="H132" s="231"/>
      <c r="I132" s="191"/>
    </row>
    <row r="133" spans="1:9" ht="16.5" customHeight="1" hidden="1">
      <c r="A133" s="237" t="s">
        <v>586</v>
      </c>
      <c r="B133" s="722" t="s">
        <v>587</v>
      </c>
      <c r="C133" s="723"/>
      <c r="D133" s="724"/>
      <c r="E133" s="205"/>
      <c r="F133" s="231"/>
      <c r="G133" s="231"/>
      <c r="H133" s="231"/>
      <c r="I133" s="191"/>
    </row>
    <row r="134" spans="1:9" ht="30" customHeight="1" hidden="1">
      <c r="A134" s="237" t="s">
        <v>588</v>
      </c>
      <c r="B134" s="722" t="s">
        <v>589</v>
      </c>
      <c r="C134" s="723"/>
      <c r="D134" s="724"/>
      <c r="E134" s="231" t="s">
        <v>562</v>
      </c>
      <c r="F134" s="231"/>
      <c r="G134" s="231"/>
      <c r="H134" s="231">
        <f>SUM(H135+H137)</f>
        <v>0</v>
      </c>
      <c r="I134" s="191"/>
    </row>
    <row r="135" spans="1:9" ht="16.5" customHeight="1" hidden="1">
      <c r="A135" s="237" t="s">
        <v>590</v>
      </c>
      <c r="B135" s="719" t="s">
        <v>591</v>
      </c>
      <c r="C135" s="720"/>
      <c r="D135" s="721"/>
      <c r="E135" s="231">
        <v>536734.44</v>
      </c>
      <c r="F135" s="231"/>
      <c r="G135" s="231"/>
      <c r="H135" s="231">
        <v>0</v>
      </c>
      <c r="I135" s="191"/>
    </row>
    <row r="136" spans="1:9" ht="31.5" customHeight="1" hidden="1">
      <c r="A136" s="237" t="s">
        <v>592</v>
      </c>
      <c r="B136" s="722" t="s">
        <v>593</v>
      </c>
      <c r="C136" s="723"/>
      <c r="D136" s="724"/>
      <c r="E136" s="205"/>
      <c r="F136" s="231"/>
      <c r="G136" s="231"/>
      <c r="H136" s="231"/>
      <c r="I136" s="191"/>
    </row>
    <row r="137" spans="1:9" ht="31.5" customHeight="1" hidden="1">
      <c r="A137" s="237" t="s">
        <v>594</v>
      </c>
      <c r="B137" s="722" t="s">
        <v>595</v>
      </c>
      <c r="C137" s="723"/>
      <c r="D137" s="724"/>
      <c r="E137" s="231">
        <v>536734.44</v>
      </c>
      <c r="F137" s="231"/>
      <c r="G137" s="231"/>
      <c r="H137" s="231">
        <v>0</v>
      </c>
      <c r="I137" s="191"/>
    </row>
    <row r="138" spans="1:9" ht="31.5" customHeight="1" hidden="1">
      <c r="A138" s="237" t="s">
        <v>596</v>
      </c>
      <c r="B138" s="722" t="s">
        <v>597</v>
      </c>
      <c r="C138" s="723"/>
      <c r="D138" s="724"/>
      <c r="E138" s="205"/>
      <c r="F138" s="231"/>
      <c r="G138" s="231"/>
      <c r="H138" s="231"/>
      <c r="I138" s="191"/>
    </row>
    <row r="139" spans="1:9" ht="30" customHeight="1" hidden="1">
      <c r="A139" s="237" t="s">
        <v>598</v>
      </c>
      <c r="B139" s="722" t="s">
        <v>597</v>
      </c>
      <c r="C139" s="723"/>
      <c r="D139" s="724"/>
      <c r="E139" s="205"/>
      <c r="F139" s="231"/>
      <c r="G139" s="231"/>
      <c r="H139" s="231"/>
      <c r="I139" s="191"/>
    </row>
    <row r="140" spans="1:9" ht="31.5" customHeight="1" hidden="1">
      <c r="A140" s="237" t="s">
        <v>599</v>
      </c>
      <c r="B140" s="722" t="s">
        <v>600</v>
      </c>
      <c r="C140" s="723"/>
      <c r="D140" s="724"/>
      <c r="E140" s="231">
        <v>536734.44</v>
      </c>
      <c r="F140" s="231"/>
      <c r="G140" s="231"/>
      <c r="H140" s="231">
        <v>0</v>
      </c>
      <c r="I140" s="191"/>
    </row>
    <row r="141" spans="1:9" ht="16.5" customHeight="1" hidden="1">
      <c r="A141" s="712" t="s">
        <v>571</v>
      </c>
      <c r="B141" s="712"/>
      <c r="C141" s="712"/>
      <c r="D141" s="712"/>
      <c r="E141" s="199" t="s">
        <v>562</v>
      </c>
      <c r="F141" s="362">
        <f>F130+F134+F140</f>
        <v>0</v>
      </c>
      <c r="G141" s="362">
        <f>G130+G134+G140</f>
        <v>0</v>
      </c>
      <c r="H141" s="362">
        <f>H130+H134+H140</f>
        <v>0</v>
      </c>
      <c r="I141" s="191"/>
    </row>
    <row r="142" spans="2:6" ht="16.5" customHeight="1">
      <c r="B142" s="242"/>
      <c r="C142" s="242"/>
      <c r="D142" s="242"/>
      <c r="E142" s="236"/>
      <c r="F142" s="191"/>
    </row>
    <row r="143" spans="2:6" ht="16.5" customHeight="1">
      <c r="B143" s="242"/>
      <c r="C143" s="242"/>
      <c r="D143" s="242"/>
      <c r="E143" s="236"/>
      <c r="F143" s="191"/>
    </row>
    <row r="144" spans="2:6" ht="16.5" customHeight="1">
      <c r="B144" s="242"/>
      <c r="C144" s="242"/>
      <c r="D144" s="242"/>
      <c r="E144" s="236"/>
      <c r="F144" s="191"/>
    </row>
    <row r="145" spans="1:11" ht="99" customHeight="1">
      <c r="A145" s="713" t="s">
        <v>601</v>
      </c>
      <c r="B145" s="713"/>
      <c r="C145" s="713"/>
      <c r="D145" s="713"/>
      <c r="E145" s="713"/>
      <c r="F145" s="713"/>
      <c r="G145" s="713"/>
      <c r="H145" s="713"/>
      <c r="I145" s="713"/>
      <c r="J145" s="713"/>
      <c r="K145" s="713"/>
    </row>
    <row r="146" spans="2:6" ht="21" customHeight="1">
      <c r="B146" s="714"/>
      <c r="C146" s="714"/>
      <c r="D146" s="714"/>
      <c r="E146" s="714"/>
      <c r="F146" s="714"/>
    </row>
    <row r="147" spans="1:11" s="244" customFormat="1" ht="27" customHeight="1">
      <c r="A147" s="703" t="s">
        <v>602</v>
      </c>
      <c r="B147" s="703"/>
      <c r="C147" s="703"/>
      <c r="D147" s="703"/>
      <c r="E147" s="703"/>
      <c r="F147" s="703"/>
      <c r="G147" s="703"/>
      <c r="H147" s="703"/>
      <c r="I147" s="703"/>
      <c r="J147" s="703"/>
      <c r="K147" s="703"/>
    </row>
    <row r="148" spans="1:11" s="244" customFormat="1" ht="16.5" customHeight="1">
      <c r="A148" s="243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</row>
    <row r="149" spans="2:31" ht="15.75" customHeight="1">
      <c r="B149" s="192" t="s">
        <v>603</v>
      </c>
      <c r="C149" s="192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</row>
    <row r="150" spans="2:31" ht="15.75" customHeight="1">
      <c r="B150" s="185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</row>
    <row r="151" spans="2:31" ht="15.75" customHeight="1">
      <c r="B151" s="192" t="s">
        <v>542</v>
      </c>
      <c r="C151" s="192"/>
      <c r="D151" s="192" t="s">
        <v>702</v>
      </c>
      <c r="E151" s="192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</row>
    <row r="152" spans="2:31" ht="15.75" customHeight="1">
      <c r="B152" s="185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</row>
    <row r="153" spans="1:9" s="244" customFormat="1" ht="15.75" customHeight="1">
      <c r="A153" s="670" t="s">
        <v>545</v>
      </c>
      <c r="B153" s="715" t="s">
        <v>1</v>
      </c>
      <c r="C153" s="715"/>
      <c r="D153" s="715"/>
      <c r="E153" s="715" t="s">
        <v>605</v>
      </c>
      <c r="F153" s="715" t="s">
        <v>606</v>
      </c>
      <c r="G153" s="716" t="s">
        <v>579</v>
      </c>
      <c r="H153" s="717"/>
      <c r="I153" s="718"/>
    </row>
    <row r="154" spans="1:49" s="244" customFormat="1" ht="51" customHeight="1">
      <c r="A154" s="671"/>
      <c r="B154" s="715"/>
      <c r="C154" s="715"/>
      <c r="D154" s="715"/>
      <c r="E154" s="715"/>
      <c r="F154" s="715"/>
      <c r="G154" s="226" t="s">
        <v>607</v>
      </c>
      <c r="H154" s="224" t="s">
        <v>557</v>
      </c>
      <c r="I154" s="226" t="s">
        <v>563</v>
      </c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</row>
    <row r="155" spans="1:49" s="244" customFormat="1" ht="15.75">
      <c r="A155" s="247">
        <v>1</v>
      </c>
      <c r="B155" s="707">
        <v>2</v>
      </c>
      <c r="C155" s="707"/>
      <c r="D155" s="707"/>
      <c r="E155" s="247">
        <v>3</v>
      </c>
      <c r="F155" s="248">
        <v>4</v>
      </c>
      <c r="G155" s="249">
        <v>4</v>
      </c>
      <c r="H155" s="250">
        <v>5</v>
      </c>
      <c r="I155" s="249">
        <v>6</v>
      </c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</row>
    <row r="156" spans="1:49" s="244" customFormat="1" ht="32.25" customHeight="1">
      <c r="A156" s="251" t="s">
        <v>608</v>
      </c>
      <c r="B156" s="708" t="s">
        <v>703</v>
      </c>
      <c r="C156" s="708"/>
      <c r="D156" s="708"/>
      <c r="E156" s="252">
        <v>62.51</v>
      </c>
      <c r="F156" s="337">
        <v>7187.4897</v>
      </c>
      <c r="G156" s="338">
        <f>SUM(H156:J156)</f>
        <v>517204.981147</v>
      </c>
      <c r="H156" s="338">
        <f>E156*F156+67915</f>
        <v>517204.981147</v>
      </c>
      <c r="I156" s="338">
        <v>0</v>
      </c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46"/>
      <c r="AT156" s="246"/>
      <c r="AU156" s="246"/>
      <c r="AV156" s="246"/>
      <c r="AW156" s="246"/>
    </row>
    <row r="157" spans="1:49" s="244" customFormat="1" ht="30.75" customHeight="1">
      <c r="A157" s="251" t="s">
        <v>588</v>
      </c>
      <c r="B157" s="708" t="s">
        <v>704</v>
      </c>
      <c r="C157" s="708"/>
      <c r="D157" s="708"/>
      <c r="E157" s="252">
        <v>62.51</v>
      </c>
      <c r="F157" s="337">
        <v>1991.8573</v>
      </c>
      <c r="G157" s="338">
        <f aca="true" t="shared" si="0" ref="G157:G162">SUM(H157:J157)</f>
        <v>182055.91982299997</v>
      </c>
      <c r="H157" s="338">
        <f>E157*F157+57544.92</f>
        <v>182055.91982299997</v>
      </c>
      <c r="I157" s="338">
        <v>0</v>
      </c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</row>
    <row r="158" spans="1:49" s="244" customFormat="1" ht="35.25" customHeight="1">
      <c r="A158" s="251" t="s">
        <v>599</v>
      </c>
      <c r="B158" s="708" t="s">
        <v>705</v>
      </c>
      <c r="C158" s="708"/>
      <c r="D158" s="708"/>
      <c r="E158" s="252">
        <v>2759</v>
      </c>
      <c r="F158" s="337">
        <v>3</v>
      </c>
      <c r="G158" s="338">
        <f t="shared" si="0"/>
        <v>16501</v>
      </c>
      <c r="H158" s="338">
        <f>E158*F158+340+7884</f>
        <v>16501</v>
      </c>
      <c r="I158" s="338">
        <v>0</v>
      </c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</row>
    <row r="159" spans="1:49" s="244" customFormat="1" ht="31.5" customHeight="1">
      <c r="A159" s="251" t="s">
        <v>706</v>
      </c>
      <c r="B159" s="708" t="s">
        <v>707</v>
      </c>
      <c r="C159" s="708"/>
      <c r="D159" s="708"/>
      <c r="E159" s="252">
        <v>2735</v>
      </c>
      <c r="F159" s="339">
        <v>8</v>
      </c>
      <c r="G159" s="338">
        <f t="shared" si="0"/>
        <v>27858</v>
      </c>
      <c r="H159" s="338">
        <f>E159*F159+5978</f>
        <v>27858</v>
      </c>
      <c r="I159" s="338">
        <v>0</v>
      </c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</row>
    <row r="160" spans="1:49" s="244" customFormat="1" ht="36.75" customHeight="1">
      <c r="A160" s="251" t="s">
        <v>708</v>
      </c>
      <c r="B160" s="708" t="s">
        <v>241</v>
      </c>
      <c r="C160" s="708"/>
      <c r="D160" s="708"/>
      <c r="E160" s="252">
        <v>62.51</v>
      </c>
      <c r="F160" s="337">
        <v>14026.1878</v>
      </c>
      <c r="G160" s="338">
        <f t="shared" si="0"/>
        <v>982309.9993779999</v>
      </c>
      <c r="H160" s="338">
        <v>0</v>
      </c>
      <c r="I160" s="338">
        <f>E160*F160+82808.25+22724.75</f>
        <v>982309.9993779999</v>
      </c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</row>
    <row r="161" spans="1:49" s="244" customFormat="1" ht="36.75" customHeight="1">
      <c r="A161" s="251" t="s">
        <v>709</v>
      </c>
      <c r="B161" s="708" t="s">
        <v>269</v>
      </c>
      <c r="C161" s="708"/>
      <c r="D161" s="708"/>
      <c r="E161" s="252">
        <v>106.86</v>
      </c>
      <c r="F161" s="339">
        <v>0</v>
      </c>
      <c r="G161" s="338">
        <f t="shared" si="0"/>
        <v>0</v>
      </c>
      <c r="H161" s="338">
        <v>0</v>
      </c>
      <c r="I161" s="338">
        <v>0</v>
      </c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</row>
    <row r="162" spans="1:49" s="244" customFormat="1" ht="36.75" customHeight="1">
      <c r="A162" s="251" t="s">
        <v>710</v>
      </c>
      <c r="B162" s="734"/>
      <c r="C162" s="735"/>
      <c r="D162" s="754"/>
      <c r="E162" s="252"/>
      <c r="F162" s="337">
        <v>0</v>
      </c>
      <c r="G162" s="338">
        <f t="shared" si="0"/>
        <v>0</v>
      </c>
      <c r="H162" s="338">
        <v>0</v>
      </c>
      <c r="I162" s="338">
        <v>0</v>
      </c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</row>
    <row r="163" spans="1:49" s="244" customFormat="1" ht="36.75" customHeight="1">
      <c r="A163" s="251" t="s">
        <v>711</v>
      </c>
      <c r="B163" s="734"/>
      <c r="C163" s="735"/>
      <c r="D163" s="754"/>
      <c r="E163" s="252"/>
      <c r="F163" s="253"/>
      <c r="G163" s="231"/>
      <c r="H163" s="232"/>
      <c r="I163" s="23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</row>
    <row r="164" spans="1:49" s="244" customFormat="1" ht="36.75" customHeight="1">
      <c r="A164" s="251" t="s">
        <v>712</v>
      </c>
      <c r="B164" s="734"/>
      <c r="C164" s="735"/>
      <c r="D164" s="754"/>
      <c r="E164" s="252"/>
      <c r="F164" s="253"/>
      <c r="G164" s="231"/>
      <c r="H164" s="232"/>
      <c r="I164" s="23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</row>
    <row r="165" spans="1:49" s="342" customFormat="1" ht="15.75">
      <c r="A165" s="755" t="s">
        <v>561</v>
      </c>
      <c r="B165" s="756"/>
      <c r="C165" s="756"/>
      <c r="D165" s="757"/>
      <c r="E165" s="217" t="s">
        <v>562</v>
      </c>
      <c r="F165" s="340" t="s">
        <v>562</v>
      </c>
      <c r="G165" s="218"/>
      <c r="H165" s="341">
        <f>SUM(H156:H164)</f>
        <v>743619.90097</v>
      </c>
      <c r="I165" s="289">
        <f>SUM(I156:I164)</f>
        <v>982309.9993779999</v>
      </c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</row>
    <row r="166" spans="6:49" s="244" customFormat="1" ht="15.75"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</row>
    <row r="167" spans="1:11" s="244" customFormat="1" ht="15.75" hidden="1">
      <c r="A167" s="703" t="s">
        <v>925</v>
      </c>
      <c r="B167" s="703"/>
      <c r="C167" s="703"/>
      <c r="D167" s="703"/>
      <c r="E167" s="703"/>
      <c r="F167" s="703"/>
      <c r="G167" s="703"/>
      <c r="H167" s="703"/>
      <c r="I167" s="703"/>
      <c r="J167" s="703"/>
      <c r="K167" s="703"/>
    </row>
    <row r="168" spans="1:11" s="244" customFormat="1" ht="15.75" hidden="1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</row>
    <row r="169" spans="2:31" ht="15.75" hidden="1">
      <c r="B169" s="192" t="s">
        <v>603</v>
      </c>
      <c r="C169" s="192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</row>
    <row r="170" spans="2:31" ht="15.75" hidden="1">
      <c r="B170" s="185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</row>
    <row r="171" spans="2:31" ht="15.75" hidden="1">
      <c r="B171" s="192" t="s">
        <v>542</v>
      </c>
      <c r="C171" s="192"/>
      <c r="D171" s="192" t="s">
        <v>702</v>
      </c>
      <c r="E171" s="192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</row>
    <row r="172" spans="2:31" ht="15.75" hidden="1">
      <c r="B172" s="185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</row>
    <row r="173" spans="1:9" s="244" customFormat="1" ht="15.75" hidden="1">
      <c r="A173" s="670" t="s">
        <v>545</v>
      </c>
      <c r="B173" s="715" t="s">
        <v>1</v>
      </c>
      <c r="C173" s="715"/>
      <c r="D173" s="715"/>
      <c r="E173" s="715" t="s">
        <v>605</v>
      </c>
      <c r="F173" s="715" t="s">
        <v>606</v>
      </c>
      <c r="G173" s="716" t="s">
        <v>579</v>
      </c>
      <c r="H173" s="717"/>
      <c r="I173" s="718"/>
    </row>
    <row r="174" spans="1:49" s="244" customFormat="1" ht="47.25" hidden="1">
      <c r="A174" s="671"/>
      <c r="B174" s="715"/>
      <c r="C174" s="715"/>
      <c r="D174" s="715"/>
      <c r="E174" s="715"/>
      <c r="F174" s="715"/>
      <c r="G174" s="226" t="s">
        <v>607</v>
      </c>
      <c r="H174" s="224" t="s">
        <v>557</v>
      </c>
      <c r="I174" s="226" t="s">
        <v>563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</row>
    <row r="175" spans="1:49" s="244" customFormat="1" ht="15.75" hidden="1">
      <c r="A175" s="247">
        <v>1</v>
      </c>
      <c r="B175" s="707">
        <v>2</v>
      </c>
      <c r="C175" s="707"/>
      <c r="D175" s="707"/>
      <c r="E175" s="247">
        <v>3</v>
      </c>
      <c r="F175" s="248">
        <v>4</v>
      </c>
      <c r="G175" s="249">
        <v>4</v>
      </c>
      <c r="H175" s="250">
        <v>5</v>
      </c>
      <c r="I175" s="249">
        <v>6</v>
      </c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</row>
    <row r="176" spans="1:49" s="244" customFormat="1" ht="36" customHeight="1" hidden="1">
      <c r="A176" s="251" t="s">
        <v>608</v>
      </c>
      <c r="B176" s="708" t="s">
        <v>703</v>
      </c>
      <c r="C176" s="708"/>
      <c r="D176" s="708"/>
      <c r="E176" s="252">
        <v>62.51</v>
      </c>
      <c r="F176" s="265">
        <v>9</v>
      </c>
      <c r="G176" s="231">
        <f>SUM(H176:I176)</f>
        <v>0</v>
      </c>
      <c r="H176" s="232"/>
      <c r="I176" s="23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</row>
    <row r="177" spans="1:49" s="244" customFormat="1" ht="29.25" customHeight="1" hidden="1">
      <c r="A177" s="251" t="s">
        <v>588</v>
      </c>
      <c r="B177" s="708" t="s">
        <v>704</v>
      </c>
      <c r="C177" s="708"/>
      <c r="D177" s="708"/>
      <c r="E177" s="252">
        <v>62.51</v>
      </c>
      <c r="F177" s="265">
        <v>9</v>
      </c>
      <c r="G177" s="231">
        <f aca="true" t="shared" si="1" ref="G177:G183">SUM(H177:I177)</f>
        <v>0</v>
      </c>
      <c r="H177" s="232"/>
      <c r="I177" s="23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</row>
    <row r="178" spans="1:49" s="244" customFormat="1" ht="28.5" customHeight="1" hidden="1">
      <c r="A178" s="251" t="s">
        <v>599</v>
      </c>
      <c r="B178" s="708" t="s">
        <v>705</v>
      </c>
      <c r="C178" s="708"/>
      <c r="D178" s="708"/>
      <c r="E178" s="252">
        <v>2628</v>
      </c>
      <c r="F178" s="265">
        <v>3</v>
      </c>
      <c r="G178" s="231">
        <f t="shared" si="1"/>
        <v>0</v>
      </c>
      <c r="H178" s="232"/>
      <c r="I178" s="23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</row>
    <row r="179" spans="1:49" s="244" customFormat="1" ht="28.5" customHeight="1" hidden="1">
      <c r="A179" s="251" t="s">
        <v>706</v>
      </c>
      <c r="B179" s="708" t="s">
        <v>707</v>
      </c>
      <c r="C179" s="708"/>
      <c r="D179" s="708"/>
      <c r="E179" s="252">
        <v>2605</v>
      </c>
      <c r="F179" s="265">
        <v>2</v>
      </c>
      <c r="G179" s="231">
        <f t="shared" si="1"/>
        <v>0</v>
      </c>
      <c r="H179" s="232"/>
      <c r="I179" s="23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</row>
    <row r="180" spans="1:49" s="244" customFormat="1" ht="29.25" customHeight="1" hidden="1">
      <c r="A180" s="251" t="s">
        <v>708</v>
      </c>
      <c r="B180" s="708" t="s">
        <v>241</v>
      </c>
      <c r="C180" s="708"/>
      <c r="D180" s="708"/>
      <c r="E180" s="252">
        <v>62.51</v>
      </c>
      <c r="F180" s="265">
        <v>9</v>
      </c>
      <c r="G180" s="231">
        <f t="shared" si="1"/>
        <v>0</v>
      </c>
      <c r="H180" s="232"/>
      <c r="I180" s="23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</row>
    <row r="181" spans="1:49" s="244" customFormat="1" ht="27" customHeight="1" hidden="1">
      <c r="A181" s="251" t="s">
        <v>709</v>
      </c>
      <c r="B181" s="708" t="s">
        <v>926</v>
      </c>
      <c r="C181" s="708"/>
      <c r="D181" s="708"/>
      <c r="E181" s="252">
        <v>62.51</v>
      </c>
      <c r="F181" s="265"/>
      <c r="G181" s="231">
        <f t="shared" si="1"/>
        <v>0</v>
      </c>
      <c r="H181" s="232"/>
      <c r="I181" s="23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</row>
    <row r="182" spans="1:49" s="244" customFormat="1" ht="28.5" customHeight="1" hidden="1">
      <c r="A182" s="251" t="s">
        <v>710</v>
      </c>
      <c r="B182" s="750" t="s">
        <v>927</v>
      </c>
      <c r="C182" s="751"/>
      <c r="D182" s="752"/>
      <c r="E182" s="252"/>
      <c r="F182" s="265"/>
      <c r="G182" s="231">
        <f t="shared" si="1"/>
        <v>0</v>
      </c>
      <c r="H182" s="232"/>
      <c r="I182" s="23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</row>
    <row r="183" spans="1:49" s="244" customFormat="1" ht="28.5" customHeight="1" hidden="1">
      <c r="A183" s="251" t="s">
        <v>711</v>
      </c>
      <c r="B183" s="708" t="s">
        <v>269</v>
      </c>
      <c r="C183" s="708"/>
      <c r="D183" s="708"/>
      <c r="E183" s="252">
        <v>106.86</v>
      </c>
      <c r="F183" s="253"/>
      <c r="G183" s="231">
        <f t="shared" si="1"/>
        <v>0</v>
      </c>
      <c r="H183" s="232">
        <v>0</v>
      </c>
      <c r="I183" s="231">
        <v>0</v>
      </c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</row>
    <row r="184" spans="1:49" s="244" customFormat="1" ht="18.75" hidden="1">
      <c r="A184" s="690" t="s">
        <v>561</v>
      </c>
      <c r="B184" s="753"/>
      <c r="C184" s="753"/>
      <c r="D184" s="691"/>
      <c r="E184" s="252" t="s">
        <v>562</v>
      </c>
      <c r="F184" s="254" t="s">
        <v>562</v>
      </c>
      <c r="G184" s="537">
        <f>SUM(G176:G183)</f>
        <v>0</v>
      </c>
      <c r="H184" s="538">
        <f>SUM(H176:H183)</f>
        <v>0</v>
      </c>
      <c r="I184" s="537">
        <f>SUM(I176:I183)</f>
        <v>0</v>
      </c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</row>
    <row r="185" spans="6:49" s="244" customFormat="1" ht="15.75"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  <c r="AO185" s="256"/>
      <c r="AP185" s="256"/>
      <c r="AQ185" s="256"/>
      <c r="AR185" s="256"/>
      <c r="AS185" s="256"/>
      <c r="AT185" s="256"/>
      <c r="AU185" s="256"/>
      <c r="AV185" s="256"/>
      <c r="AW185" s="256"/>
    </row>
    <row r="186" spans="6:49" s="244" customFormat="1" ht="15.75"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6"/>
      <c r="AP186" s="256"/>
      <c r="AQ186" s="256"/>
      <c r="AR186" s="256"/>
      <c r="AS186" s="256"/>
      <c r="AT186" s="256"/>
      <c r="AU186" s="256"/>
      <c r="AV186" s="256"/>
      <c r="AW186" s="256"/>
    </row>
    <row r="187" spans="6:49" s="244" customFormat="1" ht="15.75"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</row>
    <row r="188" spans="6:49" s="244" customFormat="1" ht="15.75"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</row>
    <row r="189" spans="6:49" s="244" customFormat="1" ht="15.75"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6"/>
      <c r="AP189" s="256"/>
      <c r="AQ189" s="256"/>
      <c r="AR189" s="256"/>
      <c r="AS189" s="256"/>
      <c r="AT189" s="256"/>
      <c r="AU189" s="256"/>
      <c r="AV189" s="256"/>
      <c r="AW189" s="256"/>
    </row>
    <row r="190" spans="1:49" s="244" customFormat="1" ht="69" customHeight="1">
      <c r="A190" s="669" t="s">
        <v>609</v>
      </c>
      <c r="B190" s="669"/>
      <c r="C190" s="669"/>
      <c r="D190" s="669"/>
      <c r="E190" s="669"/>
      <c r="F190" s="669"/>
      <c r="G190" s="669"/>
      <c r="H190" s="669"/>
      <c r="I190" s="669"/>
      <c r="J190" s="669"/>
      <c r="K190" s="669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  <c r="AO190" s="256"/>
      <c r="AP190" s="256"/>
      <c r="AQ190" s="256"/>
      <c r="AR190" s="256"/>
      <c r="AS190" s="256"/>
      <c r="AT190" s="256"/>
      <c r="AU190" s="256"/>
      <c r="AV190" s="256"/>
      <c r="AW190" s="256"/>
    </row>
    <row r="191" s="244" customFormat="1" ht="15.75"/>
    <row r="192" spans="1:11" ht="15.75" customHeight="1">
      <c r="A192" s="703" t="s">
        <v>610</v>
      </c>
      <c r="B192" s="703"/>
      <c r="C192" s="703"/>
      <c r="D192" s="703"/>
      <c r="E192" s="703"/>
      <c r="F192" s="703"/>
      <c r="G192" s="703"/>
      <c r="H192" s="703"/>
      <c r="I192" s="703"/>
      <c r="J192" s="703"/>
      <c r="K192" s="703"/>
    </row>
    <row r="193" spans="1:11" ht="15.75" customHeight="1">
      <c r="A193" s="243"/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</row>
    <row r="194" spans="2:31" ht="15.75" customHeight="1">
      <c r="B194" s="192" t="s">
        <v>611</v>
      </c>
      <c r="C194" s="192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</row>
    <row r="195" spans="2:31" ht="15.75" customHeight="1">
      <c r="B195" s="185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</row>
    <row r="196" spans="2:31" ht="15.75" customHeight="1">
      <c r="B196" s="192" t="s">
        <v>542</v>
      </c>
      <c r="C196" s="192"/>
      <c r="D196" s="192" t="s">
        <v>702</v>
      </c>
      <c r="E196" s="192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</row>
    <row r="197" spans="1:4" ht="15.75" customHeight="1">
      <c r="A197" s="193"/>
      <c r="B197" s="193"/>
      <c r="C197" s="193"/>
      <c r="D197" s="193"/>
    </row>
    <row r="198" spans="1:8" ht="15.75" customHeight="1">
      <c r="A198" s="670" t="s">
        <v>545</v>
      </c>
      <c r="B198" s="652" t="s">
        <v>612</v>
      </c>
      <c r="C198" s="652"/>
      <c r="D198" s="676" t="s">
        <v>613</v>
      </c>
      <c r="E198" s="676" t="s">
        <v>614</v>
      </c>
      <c r="F198" s="704" t="s">
        <v>579</v>
      </c>
      <c r="G198" s="705"/>
      <c r="H198" s="706"/>
    </row>
    <row r="199" spans="1:8" ht="51.75" customHeight="1">
      <c r="A199" s="671"/>
      <c r="B199" s="652"/>
      <c r="C199" s="652"/>
      <c r="D199" s="677"/>
      <c r="E199" s="677"/>
      <c r="F199" s="257" t="s">
        <v>615</v>
      </c>
      <c r="G199" s="224" t="s">
        <v>557</v>
      </c>
      <c r="H199" s="226" t="s">
        <v>563</v>
      </c>
    </row>
    <row r="200" spans="1:8" ht="15.75">
      <c r="A200" s="258">
        <v>1</v>
      </c>
      <c r="B200" s="699">
        <v>2</v>
      </c>
      <c r="C200" s="699"/>
      <c r="D200" s="258">
        <v>3</v>
      </c>
      <c r="E200" s="258">
        <v>4</v>
      </c>
      <c r="F200" s="258">
        <v>5</v>
      </c>
      <c r="G200" s="259">
        <v>6</v>
      </c>
      <c r="H200" s="258">
        <v>7</v>
      </c>
    </row>
    <row r="201" spans="1:8" ht="15.75">
      <c r="A201" s="199">
        <v>1</v>
      </c>
      <c r="B201" s="700"/>
      <c r="C201" s="700"/>
      <c r="D201" s="262"/>
      <c r="E201" s="262"/>
      <c r="F201" s="231"/>
      <c r="G201" s="232"/>
      <c r="H201" s="231"/>
    </row>
    <row r="202" spans="1:8" ht="15.75">
      <c r="A202" s="199">
        <v>2</v>
      </c>
      <c r="B202" s="700"/>
      <c r="C202" s="700"/>
      <c r="D202" s="262"/>
      <c r="E202" s="262"/>
      <c r="F202" s="231"/>
      <c r="G202" s="232"/>
      <c r="H202" s="231"/>
    </row>
    <row r="203" spans="1:8" ht="15.75">
      <c r="A203" s="683" t="s">
        <v>561</v>
      </c>
      <c r="B203" s="702"/>
      <c r="C203" s="684"/>
      <c r="D203" s="274"/>
      <c r="E203" s="265" t="s">
        <v>562</v>
      </c>
      <c r="F203" s="205"/>
      <c r="G203" s="232"/>
      <c r="H203" s="231"/>
    </row>
    <row r="204" spans="1:7" ht="15.75">
      <c r="A204" s="191"/>
      <c r="B204" s="191"/>
      <c r="C204" s="191"/>
      <c r="D204" s="191"/>
      <c r="E204" s="191"/>
      <c r="F204" s="191"/>
      <c r="G204" s="191"/>
    </row>
    <row r="205" spans="1:11" ht="49.5" customHeight="1">
      <c r="A205" s="682" t="s">
        <v>619</v>
      </c>
      <c r="B205" s="682"/>
      <c r="C205" s="682"/>
      <c r="D205" s="682"/>
      <c r="E205" s="682"/>
      <c r="F205" s="682"/>
      <c r="G205" s="682"/>
      <c r="H205" s="682"/>
      <c r="I205" s="682"/>
      <c r="J205" s="682"/>
      <c r="K205" s="682"/>
    </row>
    <row r="206" spans="1:7" ht="15.75">
      <c r="A206" s="191"/>
      <c r="B206" s="191"/>
      <c r="C206" s="191"/>
      <c r="D206" s="191"/>
      <c r="E206" s="191"/>
      <c r="F206" s="191"/>
      <c r="G206" s="191"/>
    </row>
    <row r="207" spans="1:11" ht="15.75">
      <c r="A207" s="695" t="s">
        <v>620</v>
      </c>
      <c r="B207" s="695"/>
      <c r="C207" s="695"/>
      <c r="D207" s="695"/>
      <c r="E207" s="695"/>
      <c r="F207" s="695"/>
      <c r="G207" s="695"/>
      <c r="H207" s="695"/>
      <c r="I207" s="695"/>
      <c r="J207" s="695"/>
      <c r="K207" s="695"/>
    </row>
    <row r="208" spans="1:7" ht="17.25" customHeight="1">
      <c r="A208" s="698" t="s">
        <v>621</v>
      </c>
      <c r="B208" s="698"/>
      <c r="C208" s="698"/>
      <c r="D208" s="698"/>
      <c r="E208" s="698"/>
      <c r="F208" s="191"/>
      <c r="G208" s="191"/>
    </row>
    <row r="209" spans="2:31" ht="15.75" customHeight="1">
      <c r="B209" s="185" t="s">
        <v>713</v>
      </c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</row>
    <row r="210" spans="2:31" ht="15.75" customHeight="1">
      <c r="B210" s="185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</row>
    <row r="211" spans="2:31" ht="15.75" customHeight="1">
      <c r="B211" s="185" t="s">
        <v>714</v>
      </c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</row>
    <row r="212" spans="1:7" ht="17.25" customHeight="1">
      <c r="A212" s="267"/>
      <c r="B212" s="267"/>
      <c r="C212" s="267"/>
      <c r="D212" s="267"/>
      <c r="E212" s="267"/>
      <c r="F212" s="191"/>
      <c r="G212" s="191"/>
    </row>
    <row r="213" spans="1:8" ht="15.75">
      <c r="A213" s="670" t="s">
        <v>545</v>
      </c>
      <c r="B213" s="685" t="s">
        <v>1</v>
      </c>
      <c r="C213" s="685" t="s">
        <v>605</v>
      </c>
      <c r="D213" s="685" t="s">
        <v>606</v>
      </c>
      <c r="E213" s="666" t="s">
        <v>579</v>
      </c>
      <c r="F213" s="686"/>
      <c r="G213" s="667"/>
      <c r="H213" s="256"/>
    </row>
    <row r="214" spans="1:50" ht="48.75" customHeight="1">
      <c r="A214" s="671"/>
      <c r="B214" s="685"/>
      <c r="C214" s="685"/>
      <c r="D214" s="685"/>
      <c r="E214" s="269" t="s">
        <v>607</v>
      </c>
      <c r="F214" s="270" t="s">
        <v>557</v>
      </c>
      <c r="G214" s="235" t="s">
        <v>563</v>
      </c>
      <c r="H214" s="271"/>
      <c r="I214" s="272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191"/>
    </row>
    <row r="215" spans="1:50" ht="14.25" customHeight="1">
      <c r="A215" s="228">
        <v>1</v>
      </c>
      <c r="B215" s="273">
        <v>2</v>
      </c>
      <c r="C215" s="273">
        <v>3</v>
      </c>
      <c r="D215" s="273">
        <v>4</v>
      </c>
      <c r="E215" s="273">
        <v>5</v>
      </c>
      <c r="F215" s="229">
        <v>6</v>
      </c>
      <c r="G215" s="228">
        <v>7</v>
      </c>
      <c r="H215" s="230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191"/>
    </row>
    <row r="216" spans="1:50" ht="15.75">
      <c r="A216" s="199"/>
      <c r="B216" s="269"/>
      <c r="C216" s="274"/>
      <c r="D216" s="274"/>
      <c r="E216" s="274"/>
      <c r="F216" s="254"/>
      <c r="G216" s="274"/>
      <c r="H216" s="275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191"/>
    </row>
    <row r="217" spans="1:50" ht="15.75">
      <c r="A217" s="199"/>
      <c r="B217" s="269"/>
      <c r="C217" s="274"/>
      <c r="D217" s="274"/>
      <c r="E217" s="274"/>
      <c r="F217" s="254"/>
      <c r="G217" s="274"/>
      <c r="H217" s="275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191"/>
    </row>
    <row r="218" spans="1:50" ht="15.75">
      <c r="A218" s="683" t="s">
        <v>561</v>
      </c>
      <c r="B218" s="684"/>
      <c r="C218" s="274" t="s">
        <v>562</v>
      </c>
      <c r="D218" s="274" t="s">
        <v>562</v>
      </c>
      <c r="E218" s="274"/>
      <c r="F218" s="254"/>
      <c r="G218" s="274"/>
      <c r="H218" s="275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191"/>
    </row>
    <row r="219" spans="1:50" ht="15.75">
      <c r="A219" s="276"/>
      <c r="B219" s="276"/>
      <c r="C219" s="275"/>
      <c r="D219" s="275"/>
      <c r="E219" s="275"/>
      <c r="F219" s="275"/>
      <c r="G219" s="275"/>
      <c r="H219" s="275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191"/>
    </row>
    <row r="220" spans="1:50" ht="36" customHeight="1">
      <c r="A220" s="696" t="s">
        <v>623</v>
      </c>
      <c r="B220" s="696"/>
      <c r="C220" s="696"/>
      <c r="D220" s="696"/>
      <c r="E220" s="696"/>
      <c r="F220" s="696"/>
      <c r="G220" s="696"/>
      <c r="H220" s="696"/>
      <c r="I220" s="696"/>
      <c r="J220" s="696"/>
      <c r="K220" s="696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191"/>
    </row>
    <row r="221" spans="2:11" ht="15.75">
      <c r="B221" s="185"/>
      <c r="I221" s="191"/>
      <c r="J221" s="277"/>
      <c r="K221" s="277"/>
    </row>
    <row r="222" spans="1:12" ht="15.75" customHeight="1">
      <c r="A222" s="697" t="s">
        <v>624</v>
      </c>
      <c r="B222" s="697"/>
      <c r="C222" s="697"/>
      <c r="D222" s="697"/>
      <c r="E222" s="697"/>
      <c r="F222" s="697"/>
      <c r="G222" s="697"/>
      <c r="H222" s="697"/>
      <c r="I222" s="697"/>
      <c r="J222" s="697"/>
      <c r="K222" s="697"/>
      <c r="L222" s="279"/>
    </row>
    <row r="223" spans="1:12" ht="15.75" customHeight="1">
      <c r="A223" s="278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9"/>
    </row>
    <row r="224" spans="2:31" ht="15.75" customHeight="1">
      <c r="B224" s="185" t="s">
        <v>713</v>
      </c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</row>
    <row r="225" spans="2:31" ht="15.75" customHeight="1">
      <c r="B225" s="185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1"/>
      <c r="AD225" s="191"/>
      <c r="AE225" s="191"/>
    </row>
    <row r="226" spans="2:31" ht="15.75" customHeight="1">
      <c r="B226" s="185" t="s">
        <v>714</v>
      </c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</row>
    <row r="227" spans="1:12" ht="15.75" customHeight="1">
      <c r="A227" s="223"/>
      <c r="B227" s="223"/>
      <c r="C227" s="223"/>
      <c r="D227" s="223"/>
      <c r="E227" s="223"/>
      <c r="F227" s="223"/>
      <c r="G227" s="279"/>
      <c r="H227" s="279"/>
      <c r="I227" s="279"/>
      <c r="J227" s="279"/>
      <c r="K227" s="279"/>
      <c r="L227" s="279"/>
    </row>
    <row r="228" spans="1:8" ht="15.75" customHeight="1">
      <c r="A228" s="670" t="s">
        <v>545</v>
      </c>
      <c r="B228" s="685" t="s">
        <v>1</v>
      </c>
      <c r="C228" s="685" t="s">
        <v>605</v>
      </c>
      <c r="D228" s="685" t="s">
        <v>606</v>
      </c>
      <c r="E228" s="666" t="s">
        <v>579</v>
      </c>
      <c r="F228" s="686"/>
      <c r="G228" s="667"/>
      <c r="H228" s="256"/>
    </row>
    <row r="229" spans="1:50" ht="47.25" customHeight="1">
      <c r="A229" s="671"/>
      <c r="B229" s="685"/>
      <c r="C229" s="685"/>
      <c r="D229" s="685"/>
      <c r="E229" s="269" t="s">
        <v>607</v>
      </c>
      <c r="F229" s="235" t="s">
        <v>557</v>
      </c>
      <c r="G229" s="235" t="s">
        <v>563</v>
      </c>
      <c r="H229" s="271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191"/>
    </row>
    <row r="230" spans="1:50" ht="12" customHeight="1">
      <c r="A230" s="280">
        <v>1</v>
      </c>
      <c r="B230" s="281">
        <v>2</v>
      </c>
      <c r="C230" s="281">
        <v>3</v>
      </c>
      <c r="D230" s="281">
        <v>4</v>
      </c>
      <c r="E230" s="273">
        <v>5</v>
      </c>
      <c r="F230" s="228">
        <v>6</v>
      </c>
      <c r="G230" s="228">
        <v>7</v>
      </c>
      <c r="H230" s="230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191"/>
    </row>
    <row r="231" spans="1:50" ht="15.75">
      <c r="A231" s="199"/>
      <c r="B231" s="195"/>
      <c r="C231" s="201"/>
      <c r="D231" s="201"/>
      <c r="E231" s="274"/>
      <c r="F231" s="274"/>
      <c r="G231" s="274"/>
      <c r="H231" s="275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191"/>
    </row>
    <row r="232" spans="1:50" ht="15.75">
      <c r="A232" s="199"/>
      <c r="B232" s="195"/>
      <c r="C232" s="201"/>
      <c r="D232" s="201"/>
      <c r="E232" s="274"/>
      <c r="F232" s="274"/>
      <c r="G232" s="274"/>
      <c r="H232" s="275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191"/>
    </row>
    <row r="233" spans="1:50" ht="15.75">
      <c r="A233" s="683" t="s">
        <v>561</v>
      </c>
      <c r="B233" s="684"/>
      <c r="C233" s="201" t="s">
        <v>562</v>
      </c>
      <c r="D233" s="201" t="s">
        <v>562</v>
      </c>
      <c r="E233" s="274"/>
      <c r="F233" s="274"/>
      <c r="G233" s="274"/>
      <c r="H233" s="275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191"/>
    </row>
    <row r="234" spans="1:50" ht="15.75">
      <c r="A234" s="236"/>
      <c r="B234" s="191"/>
      <c r="C234" s="236"/>
      <c r="D234" s="236"/>
      <c r="E234" s="236"/>
      <c r="F234" s="236"/>
      <c r="G234" s="191"/>
      <c r="H234" s="277"/>
      <c r="I234" s="277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</row>
    <row r="235" spans="1:50" ht="39" customHeight="1">
      <c r="A235" s="682" t="s">
        <v>625</v>
      </c>
      <c r="B235" s="682"/>
      <c r="C235" s="682"/>
      <c r="D235" s="682"/>
      <c r="E235" s="682"/>
      <c r="F235" s="682"/>
      <c r="G235" s="682"/>
      <c r="H235" s="682"/>
      <c r="I235" s="682"/>
      <c r="J235" s="682"/>
      <c r="K235" s="682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</row>
    <row r="236" spans="1:50" ht="15.75">
      <c r="A236" s="236"/>
      <c r="B236" s="191"/>
      <c r="C236" s="236"/>
      <c r="D236" s="236"/>
      <c r="E236" s="236"/>
      <c r="F236" s="236"/>
      <c r="G236" s="191"/>
      <c r="H236" s="277"/>
      <c r="I236" s="277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</row>
    <row r="237" spans="1:11" ht="15.75">
      <c r="A237" s="695" t="s">
        <v>626</v>
      </c>
      <c r="B237" s="695"/>
      <c r="C237" s="695"/>
      <c r="D237" s="695"/>
      <c r="E237" s="695"/>
      <c r="F237" s="695"/>
      <c r="G237" s="695"/>
      <c r="H237" s="695"/>
      <c r="I237" s="695"/>
      <c r="J237" s="695"/>
      <c r="K237" s="695"/>
    </row>
    <row r="238" spans="1:10" ht="15.75">
      <c r="A238" s="236"/>
      <c r="B238" s="191"/>
      <c r="C238" s="236"/>
      <c r="D238" s="236"/>
      <c r="E238" s="236"/>
      <c r="F238" s="236"/>
      <c r="G238" s="191"/>
      <c r="H238" s="277"/>
      <c r="I238" s="277"/>
      <c r="J238" s="191"/>
    </row>
    <row r="239" spans="2:31" ht="15.75" customHeight="1">
      <c r="B239" s="192" t="s">
        <v>627</v>
      </c>
      <c r="C239" s="192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</row>
    <row r="240" spans="2:31" ht="15.75" customHeight="1">
      <c r="B240" s="185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</row>
    <row r="241" spans="2:31" ht="15.75" customHeight="1">
      <c r="B241" s="192" t="s">
        <v>542</v>
      </c>
      <c r="C241" s="192"/>
      <c r="D241" s="192" t="s">
        <v>702</v>
      </c>
      <c r="E241" s="192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</row>
    <row r="242" spans="1:10" ht="15.75">
      <c r="A242" s="236"/>
      <c r="B242" s="191"/>
      <c r="C242" s="236"/>
      <c r="D242" s="236"/>
      <c r="E242" s="236"/>
      <c r="F242" s="236"/>
      <c r="G242" s="191"/>
      <c r="H242" s="277"/>
      <c r="I242" s="277"/>
      <c r="J242" s="191"/>
    </row>
    <row r="243" spans="1:10" ht="15.75">
      <c r="A243" s="236"/>
      <c r="B243" s="222" t="s">
        <v>628</v>
      </c>
      <c r="C243" s="236"/>
      <c r="D243" s="236"/>
      <c r="E243" s="236"/>
      <c r="F243" s="236"/>
      <c r="G243" s="191"/>
      <c r="H243" s="277"/>
      <c r="I243" s="277"/>
      <c r="J243" s="191"/>
    </row>
    <row r="244" spans="1:10" ht="15.75">
      <c r="A244" s="282"/>
      <c r="B244" s="282"/>
      <c r="C244" s="282"/>
      <c r="D244" s="282"/>
      <c r="E244" s="236"/>
      <c r="F244" s="236"/>
      <c r="G244" s="191"/>
      <c r="H244" s="277"/>
      <c r="I244" s="277"/>
      <c r="J244" s="191"/>
    </row>
    <row r="245" spans="1:36" ht="22.5" customHeight="1">
      <c r="A245" s="670" t="s">
        <v>545</v>
      </c>
      <c r="B245" s="685" t="s">
        <v>566</v>
      </c>
      <c r="C245" s="685" t="s">
        <v>629</v>
      </c>
      <c r="D245" s="685" t="s">
        <v>630</v>
      </c>
      <c r="E245" s="685" t="s">
        <v>631</v>
      </c>
      <c r="F245" s="666" t="s">
        <v>579</v>
      </c>
      <c r="G245" s="686"/>
      <c r="H245" s="667"/>
      <c r="I245" s="256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</row>
    <row r="246" spans="1:36" ht="56.25" customHeight="1">
      <c r="A246" s="671"/>
      <c r="B246" s="685"/>
      <c r="C246" s="685"/>
      <c r="D246" s="685"/>
      <c r="E246" s="685"/>
      <c r="F246" s="245" t="s">
        <v>632</v>
      </c>
      <c r="G246" s="224" t="s">
        <v>557</v>
      </c>
      <c r="H246" s="226" t="s">
        <v>563</v>
      </c>
      <c r="I246" s="271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191"/>
    </row>
    <row r="247" spans="1:36" ht="15.75">
      <c r="A247" s="200">
        <v>1</v>
      </c>
      <c r="B247" s="200">
        <v>2</v>
      </c>
      <c r="C247" s="200">
        <v>3</v>
      </c>
      <c r="D247" s="200">
        <v>4</v>
      </c>
      <c r="E247" s="200">
        <v>5</v>
      </c>
      <c r="F247" s="203">
        <v>6</v>
      </c>
      <c r="G247" s="229">
        <v>7</v>
      </c>
      <c r="H247" s="228">
        <v>8</v>
      </c>
      <c r="I247" s="230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84"/>
      <c r="W247" s="284"/>
      <c r="X247" s="284"/>
      <c r="Y247" s="284"/>
      <c r="Z247" s="284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191"/>
    </row>
    <row r="248" spans="1:36" ht="15.75">
      <c r="A248" s="237"/>
      <c r="B248" s="196"/>
      <c r="C248" s="214"/>
      <c r="D248" s="214"/>
      <c r="E248" s="214"/>
      <c r="F248" s="202"/>
      <c r="G248" s="254"/>
      <c r="H248" s="274"/>
      <c r="I248" s="275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191"/>
    </row>
    <row r="249" spans="1:36" ht="15.75">
      <c r="A249" s="237"/>
      <c r="B249" s="196"/>
      <c r="C249" s="214"/>
      <c r="D249" s="214"/>
      <c r="E249" s="214"/>
      <c r="F249" s="202"/>
      <c r="G249" s="254"/>
      <c r="H249" s="274"/>
      <c r="I249" s="275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191"/>
    </row>
    <row r="250" spans="1:36" ht="15.75">
      <c r="A250" s="690" t="s">
        <v>635</v>
      </c>
      <c r="B250" s="691"/>
      <c r="C250" s="214" t="s">
        <v>562</v>
      </c>
      <c r="D250" s="214" t="s">
        <v>562</v>
      </c>
      <c r="E250" s="214" t="s">
        <v>562</v>
      </c>
      <c r="F250" s="202"/>
      <c r="G250" s="254"/>
      <c r="H250" s="274"/>
      <c r="I250" s="275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92"/>
      <c r="W250" s="292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H250" s="292"/>
      <c r="AI250" s="292"/>
      <c r="AJ250" s="191"/>
    </row>
    <row r="251" spans="1:10" ht="15.75">
      <c r="A251" s="236"/>
      <c r="B251" s="191"/>
      <c r="C251" s="236"/>
      <c r="D251" s="236"/>
      <c r="E251" s="236"/>
      <c r="F251" s="236"/>
      <c r="G251" s="191"/>
      <c r="H251" s="277"/>
      <c r="I251" s="277"/>
      <c r="J251" s="191"/>
    </row>
    <row r="252" spans="1:11" ht="151.5" customHeight="1">
      <c r="A252" s="682" t="s">
        <v>636</v>
      </c>
      <c r="B252" s="682"/>
      <c r="C252" s="682"/>
      <c r="D252" s="682"/>
      <c r="E252" s="682"/>
      <c r="F252" s="682"/>
      <c r="G252" s="682"/>
      <c r="H252" s="682"/>
      <c r="I252" s="682"/>
      <c r="J252" s="682"/>
      <c r="K252" s="682"/>
    </row>
    <row r="253" spans="1:10" ht="15.75">
      <c r="A253" s="236"/>
      <c r="B253" s="191"/>
      <c r="C253" s="236"/>
      <c r="D253" s="236"/>
      <c r="E253" s="236"/>
      <c r="F253" s="236"/>
      <c r="G253" s="191"/>
      <c r="H253" s="277"/>
      <c r="I253" s="277"/>
      <c r="J253" s="191"/>
    </row>
    <row r="254" spans="1:10" ht="15.75">
      <c r="A254" s="282"/>
      <c r="B254" s="282" t="s">
        <v>637</v>
      </c>
      <c r="C254" s="282"/>
      <c r="D254" s="282"/>
      <c r="E254" s="282"/>
      <c r="F254" s="236"/>
      <c r="G254" s="191"/>
      <c r="H254" s="277"/>
      <c r="I254" s="277"/>
      <c r="J254" s="191"/>
    </row>
    <row r="255" spans="1:10" ht="15.75">
      <c r="A255" s="236"/>
      <c r="B255" s="191"/>
      <c r="C255" s="236"/>
      <c r="D255" s="236"/>
      <c r="E255" s="236"/>
      <c r="F255" s="236"/>
      <c r="G255" s="191"/>
      <c r="H255" s="277"/>
      <c r="I255" s="277"/>
      <c r="J255" s="191"/>
    </row>
    <row r="256" spans="1:10" ht="15.75">
      <c r="A256" s="670" t="s">
        <v>545</v>
      </c>
      <c r="B256" s="685" t="s">
        <v>566</v>
      </c>
      <c r="C256" s="685" t="s">
        <v>638</v>
      </c>
      <c r="D256" s="685" t="s">
        <v>639</v>
      </c>
      <c r="E256" s="666" t="s">
        <v>579</v>
      </c>
      <c r="F256" s="686"/>
      <c r="G256" s="667"/>
      <c r="H256" s="256"/>
      <c r="I256" s="277"/>
      <c r="J256" s="191"/>
    </row>
    <row r="257" spans="1:10" ht="31.5">
      <c r="A257" s="671"/>
      <c r="B257" s="685"/>
      <c r="C257" s="685"/>
      <c r="D257" s="685"/>
      <c r="E257" s="269" t="s">
        <v>640</v>
      </c>
      <c r="F257" s="270" t="s">
        <v>557</v>
      </c>
      <c r="G257" s="235" t="s">
        <v>563</v>
      </c>
      <c r="H257" s="271"/>
      <c r="I257" s="277"/>
      <c r="J257" s="191"/>
    </row>
    <row r="258" spans="1:10" ht="15.75">
      <c r="A258" s="280">
        <v>1</v>
      </c>
      <c r="B258" s="281">
        <v>2</v>
      </c>
      <c r="C258" s="281">
        <v>3</v>
      </c>
      <c r="D258" s="281">
        <v>4</v>
      </c>
      <c r="E258" s="273">
        <v>5</v>
      </c>
      <c r="F258" s="229">
        <v>6</v>
      </c>
      <c r="G258" s="228">
        <v>7</v>
      </c>
      <c r="H258" s="230"/>
      <c r="I258" s="277"/>
      <c r="J258" s="191"/>
    </row>
    <row r="259" spans="1:10" ht="15.75">
      <c r="A259" s="199"/>
      <c r="B259" s="195"/>
      <c r="C259" s="201"/>
      <c r="D259" s="201"/>
      <c r="E259" s="274"/>
      <c r="F259" s="254"/>
      <c r="G259" s="274"/>
      <c r="H259" s="275"/>
      <c r="I259" s="277"/>
      <c r="J259" s="191"/>
    </row>
    <row r="260" spans="1:10" ht="15.75">
      <c r="A260" s="199"/>
      <c r="B260" s="195"/>
      <c r="C260" s="201"/>
      <c r="D260" s="201"/>
      <c r="E260" s="274"/>
      <c r="F260" s="254"/>
      <c r="G260" s="274"/>
      <c r="H260" s="275"/>
      <c r="I260" s="277"/>
      <c r="J260" s="191"/>
    </row>
    <row r="261" spans="1:10" ht="15.75">
      <c r="A261" s="683" t="s">
        <v>561</v>
      </c>
      <c r="B261" s="684"/>
      <c r="C261" s="201" t="s">
        <v>562</v>
      </c>
      <c r="D261" s="201" t="s">
        <v>562</v>
      </c>
      <c r="E261" s="274"/>
      <c r="F261" s="254"/>
      <c r="G261" s="274"/>
      <c r="H261" s="275"/>
      <c r="I261" s="277"/>
      <c r="J261" s="191"/>
    </row>
    <row r="262" spans="1:10" ht="15.75">
      <c r="A262" s="236"/>
      <c r="B262" s="191"/>
      <c r="C262" s="236"/>
      <c r="D262" s="236"/>
      <c r="E262" s="236"/>
      <c r="F262" s="236"/>
      <c r="G262" s="191"/>
      <c r="H262" s="277"/>
      <c r="I262" s="277"/>
      <c r="J262" s="191"/>
    </row>
    <row r="263" spans="1:11" ht="36" customHeight="1">
      <c r="A263" s="692" t="s">
        <v>641</v>
      </c>
      <c r="B263" s="692"/>
      <c r="C263" s="692"/>
      <c r="D263" s="692"/>
      <c r="E263" s="692"/>
      <c r="F263" s="692"/>
      <c r="G263" s="692"/>
      <c r="H263" s="692"/>
      <c r="I263" s="692"/>
      <c r="J263" s="692"/>
      <c r="K263" s="692"/>
    </row>
    <row r="264" spans="1:10" ht="15.75">
      <c r="A264" s="236"/>
      <c r="B264" s="191"/>
      <c r="C264" s="236"/>
      <c r="D264" s="236"/>
      <c r="E264" s="236"/>
      <c r="F264" s="236"/>
      <c r="G264" s="191"/>
      <c r="H264" s="277"/>
      <c r="I264" s="277"/>
      <c r="J264" s="191"/>
    </row>
    <row r="265" spans="1:10" ht="15.75">
      <c r="A265" s="282"/>
      <c r="B265" s="282" t="s">
        <v>642</v>
      </c>
      <c r="C265" s="282"/>
      <c r="D265" s="282"/>
      <c r="E265" s="282"/>
      <c r="F265" s="282"/>
      <c r="G265" s="191"/>
      <c r="H265" s="277"/>
      <c r="I265" s="277"/>
      <c r="J265" s="191"/>
    </row>
    <row r="266" spans="1:10" ht="15.75">
      <c r="A266" s="236"/>
      <c r="B266" s="191"/>
      <c r="C266" s="236"/>
      <c r="D266" s="236"/>
      <c r="E266" s="236"/>
      <c r="F266" s="236"/>
      <c r="G266" s="191"/>
      <c r="H266" s="277"/>
      <c r="I266" s="277"/>
      <c r="J266" s="191"/>
    </row>
    <row r="267" spans="1:10" ht="15.75" customHeight="1">
      <c r="A267" s="670" t="s">
        <v>545</v>
      </c>
      <c r="B267" s="685" t="s">
        <v>1</v>
      </c>
      <c r="C267" s="685" t="s">
        <v>643</v>
      </c>
      <c r="D267" s="685" t="s">
        <v>644</v>
      </c>
      <c r="E267" s="685" t="s">
        <v>645</v>
      </c>
      <c r="F267" s="666" t="s">
        <v>579</v>
      </c>
      <c r="G267" s="686"/>
      <c r="H267" s="667"/>
      <c r="I267" s="256"/>
      <c r="J267" s="191"/>
    </row>
    <row r="268" spans="1:10" ht="47.25">
      <c r="A268" s="671"/>
      <c r="B268" s="685"/>
      <c r="C268" s="685"/>
      <c r="D268" s="685"/>
      <c r="E268" s="685"/>
      <c r="F268" s="268" t="s">
        <v>632</v>
      </c>
      <c r="G268" s="235" t="s">
        <v>557</v>
      </c>
      <c r="H268" s="235" t="s">
        <v>563</v>
      </c>
      <c r="I268" s="271"/>
      <c r="J268" s="191"/>
    </row>
    <row r="269" spans="1:10" ht="15.75">
      <c r="A269" s="200">
        <v>1</v>
      </c>
      <c r="B269" s="200">
        <v>2</v>
      </c>
      <c r="C269" s="200">
        <v>3</v>
      </c>
      <c r="D269" s="200">
        <v>4</v>
      </c>
      <c r="E269" s="200">
        <v>5</v>
      </c>
      <c r="F269" s="203">
        <v>6</v>
      </c>
      <c r="G269" s="228">
        <v>7</v>
      </c>
      <c r="H269" s="228">
        <v>8</v>
      </c>
      <c r="I269" s="230"/>
      <c r="J269" s="191"/>
    </row>
    <row r="270" spans="1:10" ht="15.75">
      <c r="A270" s="237"/>
      <c r="B270" s="196"/>
      <c r="C270" s="214"/>
      <c r="D270" s="214"/>
      <c r="E270" s="214"/>
      <c r="F270" s="202"/>
      <c r="G270" s="274"/>
      <c r="H270" s="274"/>
      <c r="I270" s="275"/>
      <c r="J270" s="191"/>
    </row>
    <row r="271" spans="1:10" ht="15.75">
      <c r="A271" s="237"/>
      <c r="B271" s="196"/>
      <c r="C271" s="214"/>
      <c r="D271" s="214"/>
      <c r="E271" s="214"/>
      <c r="F271" s="202"/>
      <c r="G271" s="274"/>
      <c r="H271" s="274"/>
      <c r="I271" s="275"/>
      <c r="J271" s="191"/>
    </row>
    <row r="272" spans="1:10" ht="15.75">
      <c r="A272" s="690" t="s">
        <v>635</v>
      </c>
      <c r="B272" s="691"/>
      <c r="C272" s="214" t="s">
        <v>562</v>
      </c>
      <c r="D272" s="214" t="s">
        <v>562</v>
      </c>
      <c r="E272" s="214" t="s">
        <v>562</v>
      </c>
      <c r="F272" s="202"/>
      <c r="G272" s="274"/>
      <c r="H272" s="274"/>
      <c r="I272" s="275"/>
      <c r="J272" s="191"/>
    </row>
    <row r="273" spans="1:10" ht="15.75">
      <c r="A273" s="236"/>
      <c r="B273" s="191"/>
      <c r="C273" s="236"/>
      <c r="D273" s="236"/>
      <c r="E273" s="236"/>
      <c r="F273" s="236"/>
      <c r="G273" s="191"/>
      <c r="H273" s="277"/>
      <c r="I273" s="277"/>
      <c r="J273" s="191"/>
    </row>
    <row r="274" spans="1:11" ht="66.75" customHeight="1">
      <c r="A274" s="682" t="s">
        <v>649</v>
      </c>
      <c r="B274" s="692"/>
      <c r="C274" s="692"/>
      <c r="D274" s="692"/>
      <c r="E274" s="692"/>
      <c r="F274" s="692"/>
      <c r="G274" s="692"/>
      <c r="H274" s="692"/>
      <c r="I274" s="692"/>
      <c r="J274" s="692"/>
      <c r="K274" s="692"/>
    </row>
    <row r="275" spans="1:10" ht="15.75">
      <c r="A275" s="236"/>
      <c r="B275" s="191"/>
      <c r="C275" s="236"/>
      <c r="D275" s="236"/>
      <c r="E275" s="236"/>
      <c r="F275" s="236"/>
      <c r="G275" s="191"/>
      <c r="H275" s="277"/>
      <c r="I275" s="277"/>
      <c r="J275" s="191"/>
    </row>
    <row r="276" spans="1:10" ht="15.75">
      <c r="A276" s="282"/>
      <c r="B276" s="282" t="s">
        <v>650</v>
      </c>
      <c r="C276" s="282"/>
      <c r="D276" s="282"/>
      <c r="E276" s="282"/>
      <c r="F276" s="236"/>
      <c r="G276" s="191"/>
      <c r="H276" s="277"/>
      <c r="I276" s="277"/>
      <c r="J276" s="191"/>
    </row>
    <row r="277" spans="1:10" ht="15.75">
      <c r="A277" s="236"/>
      <c r="B277" s="191"/>
      <c r="C277" s="236"/>
      <c r="D277" s="236"/>
      <c r="E277" s="236"/>
      <c r="F277" s="236"/>
      <c r="G277" s="191"/>
      <c r="H277" s="277"/>
      <c r="I277" s="277"/>
      <c r="J277" s="191"/>
    </row>
    <row r="278" spans="1:10" ht="15.75">
      <c r="A278" s="670" t="s">
        <v>545</v>
      </c>
      <c r="B278" s="685" t="s">
        <v>1</v>
      </c>
      <c r="C278" s="685" t="s">
        <v>651</v>
      </c>
      <c r="D278" s="685" t="s">
        <v>652</v>
      </c>
      <c r="E278" s="666" t="s">
        <v>579</v>
      </c>
      <c r="F278" s="686"/>
      <c r="G278" s="667"/>
      <c r="H278" s="256"/>
      <c r="I278" s="277"/>
      <c r="J278" s="191"/>
    </row>
    <row r="279" spans="1:10" ht="47.25">
      <c r="A279" s="671"/>
      <c r="B279" s="685"/>
      <c r="C279" s="685"/>
      <c r="D279" s="685"/>
      <c r="E279" s="269" t="s">
        <v>653</v>
      </c>
      <c r="F279" s="270" t="s">
        <v>557</v>
      </c>
      <c r="G279" s="235" t="s">
        <v>563</v>
      </c>
      <c r="H279" s="271"/>
      <c r="I279" s="277"/>
      <c r="J279" s="191"/>
    </row>
    <row r="280" spans="1:10" ht="15.75">
      <c r="A280" s="280">
        <v>1</v>
      </c>
      <c r="B280" s="281">
        <v>2</v>
      </c>
      <c r="C280" s="281">
        <v>3</v>
      </c>
      <c r="D280" s="281">
        <v>4</v>
      </c>
      <c r="E280" s="273">
        <v>5</v>
      </c>
      <c r="F280" s="229">
        <v>5</v>
      </c>
      <c r="G280" s="228">
        <v>6</v>
      </c>
      <c r="H280" s="230"/>
      <c r="I280" s="277"/>
      <c r="J280" s="191"/>
    </row>
    <row r="281" spans="1:10" ht="15.75">
      <c r="A281" s="199"/>
      <c r="B281" s="195"/>
      <c r="C281" s="201"/>
      <c r="D281" s="201"/>
      <c r="E281" s="274"/>
      <c r="F281" s="254"/>
      <c r="G281" s="274"/>
      <c r="H281" s="275"/>
      <c r="I281" s="277"/>
      <c r="J281" s="191"/>
    </row>
    <row r="282" spans="1:10" ht="15.75">
      <c r="A282" s="199"/>
      <c r="B282" s="195"/>
      <c r="C282" s="201"/>
      <c r="D282" s="201"/>
      <c r="E282" s="274"/>
      <c r="F282" s="254"/>
      <c r="G282" s="274"/>
      <c r="H282" s="275"/>
      <c r="I282" s="277"/>
      <c r="J282" s="191"/>
    </row>
    <row r="283" spans="1:10" ht="15.75">
      <c r="A283" s="683" t="s">
        <v>561</v>
      </c>
      <c r="B283" s="684"/>
      <c r="C283" s="201" t="s">
        <v>562</v>
      </c>
      <c r="D283" s="201" t="s">
        <v>562</v>
      </c>
      <c r="E283" s="274" t="s">
        <v>562</v>
      </c>
      <c r="F283" s="254"/>
      <c r="G283" s="274"/>
      <c r="H283" s="275"/>
      <c r="I283" s="277"/>
      <c r="J283" s="191"/>
    </row>
    <row r="284" spans="1:10" ht="15.75">
      <c r="A284" s="236"/>
      <c r="B284" s="191"/>
      <c r="C284" s="236"/>
      <c r="D284" s="236"/>
      <c r="E284" s="236"/>
      <c r="F284" s="236"/>
      <c r="G284" s="191"/>
      <c r="H284" s="277"/>
      <c r="I284" s="277"/>
      <c r="J284" s="191"/>
    </row>
    <row r="285" spans="1:11" ht="48" customHeight="1">
      <c r="A285" s="689" t="s">
        <v>654</v>
      </c>
      <c r="B285" s="689"/>
      <c r="C285" s="689"/>
      <c r="D285" s="689"/>
      <c r="E285" s="689"/>
      <c r="F285" s="689"/>
      <c r="G285" s="689"/>
      <c r="H285" s="689"/>
      <c r="I285" s="689"/>
      <c r="J285" s="689"/>
      <c r="K285" s="689"/>
    </row>
    <row r="286" spans="1:10" ht="15.75">
      <c r="A286" s="236"/>
      <c r="B286" s="191"/>
      <c r="C286" s="236"/>
      <c r="D286" s="236"/>
      <c r="E286" s="236"/>
      <c r="F286" s="236"/>
      <c r="G286" s="191"/>
      <c r="H286" s="277"/>
      <c r="I286" s="277"/>
      <c r="J286" s="191"/>
    </row>
    <row r="287" spans="1:10" ht="15.75">
      <c r="A287" s="282"/>
      <c r="B287" s="282" t="s">
        <v>655</v>
      </c>
      <c r="C287" s="282"/>
      <c r="D287" s="282"/>
      <c r="E287" s="282"/>
      <c r="F287" s="282"/>
      <c r="G287" s="191"/>
      <c r="H287" s="277"/>
      <c r="I287" s="277"/>
      <c r="J287" s="191"/>
    </row>
    <row r="288" spans="1:10" ht="15.75">
      <c r="A288" s="236"/>
      <c r="B288" s="191"/>
      <c r="C288" s="236"/>
      <c r="D288" s="236"/>
      <c r="E288" s="236"/>
      <c r="F288" s="236"/>
      <c r="G288" s="191"/>
      <c r="H288" s="277"/>
      <c r="I288" s="277"/>
      <c r="J288" s="191"/>
    </row>
    <row r="289" spans="1:10" ht="15.75">
      <c r="A289" s="670" t="s">
        <v>545</v>
      </c>
      <c r="B289" s="685" t="s">
        <v>566</v>
      </c>
      <c r="C289" s="685" t="s">
        <v>656</v>
      </c>
      <c r="D289" s="685" t="s">
        <v>657</v>
      </c>
      <c r="E289" s="666" t="s">
        <v>579</v>
      </c>
      <c r="F289" s="686"/>
      <c r="G289" s="667"/>
      <c r="H289" s="256"/>
      <c r="I289" s="277"/>
      <c r="J289" s="191"/>
    </row>
    <row r="290" spans="1:10" ht="47.25">
      <c r="A290" s="671"/>
      <c r="B290" s="685"/>
      <c r="C290" s="685"/>
      <c r="D290" s="685"/>
      <c r="E290" s="269" t="s">
        <v>658</v>
      </c>
      <c r="F290" s="270" t="s">
        <v>557</v>
      </c>
      <c r="G290" s="235" t="s">
        <v>563</v>
      </c>
      <c r="H290" s="271"/>
      <c r="I290" s="277"/>
      <c r="J290" s="191"/>
    </row>
    <row r="291" spans="1:10" ht="15.75">
      <c r="A291" s="280">
        <v>1</v>
      </c>
      <c r="B291" s="281">
        <v>2</v>
      </c>
      <c r="C291" s="281">
        <v>3</v>
      </c>
      <c r="D291" s="281">
        <v>4</v>
      </c>
      <c r="E291" s="273">
        <v>5</v>
      </c>
      <c r="F291" s="229">
        <v>5</v>
      </c>
      <c r="G291" s="228">
        <v>6</v>
      </c>
      <c r="H291" s="230"/>
      <c r="I291" s="277"/>
      <c r="J291" s="191"/>
    </row>
    <row r="292" spans="1:10" ht="15.75">
      <c r="A292" s="199"/>
      <c r="B292" s="195"/>
      <c r="C292" s="201"/>
      <c r="D292" s="201"/>
      <c r="E292" s="274"/>
      <c r="F292" s="254"/>
      <c r="G292" s="274"/>
      <c r="H292" s="275"/>
      <c r="I292" s="277"/>
      <c r="J292" s="191"/>
    </row>
    <row r="293" spans="1:10" ht="15.75">
      <c r="A293" s="199"/>
      <c r="B293" s="195"/>
      <c r="C293" s="201"/>
      <c r="D293" s="201"/>
      <c r="E293" s="274"/>
      <c r="F293" s="254"/>
      <c r="G293" s="274"/>
      <c r="H293" s="275"/>
      <c r="I293" s="277"/>
      <c r="J293" s="191"/>
    </row>
    <row r="294" spans="1:10" ht="15.75">
      <c r="A294" s="683" t="s">
        <v>561</v>
      </c>
      <c r="B294" s="684"/>
      <c r="C294" s="201" t="s">
        <v>562</v>
      </c>
      <c r="D294" s="201" t="s">
        <v>562</v>
      </c>
      <c r="E294" s="274"/>
      <c r="F294" s="254"/>
      <c r="G294" s="274"/>
      <c r="H294" s="275"/>
      <c r="I294" s="277"/>
      <c r="J294" s="191"/>
    </row>
    <row r="295" spans="1:10" ht="15.75">
      <c r="A295" s="236"/>
      <c r="B295" s="191"/>
      <c r="C295" s="236"/>
      <c r="D295" s="236"/>
      <c r="E295" s="236"/>
      <c r="F295" s="236"/>
      <c r="G295" s="191"/>
      <c r="H295" s="277"/>
      <c r="I295" s="277"/>
      <c r="J295" s="191"/>
    </row>
    <row r="296" spans="1:11" ht="53.25" customHeight="1">
      <c r="A296" s="682" t="s">
        <v>671</v>
      </c>
      <c r="B296" s="682"/>
      <c r="C296" s="682"/>
      <c r="D296" s="682"/>
      <c r="E296" s="682"/>
      <c r="F296" s="682"/>
      <c r="G296" s="682"/>
      <c r="H296" s="682"/>
      <c r="I296" s="682"/>
      <c r="J296" s="682"/>
      <c r="K296" s="682"/>
    </row>
    <row r="297" spans="1:10" ht="15.75">
      <c r="A297" s="236"/>
      <c r="B297" s="191"/>
      <c r="C297" s="236"/>
      <c r="D297" s="236"/>
      <c r="E297" s="236"/>
      <c r="F297" s="236"/>
      <c r="G297" s="191"/>
      <c r="H297" s="277"/>
      <c r="I297" s="277"/>
      <c r="J297" s="191"/>
    </row>
    <row r="298" spans="1:10" ht="15.75">
      <c r="A298" s="282"/>
      <c r="B298" s="282" t="s">
        <v>672</v>
      </c>
      <c r="C298" s="282"/>
      <c r="D298" s="282"/>
      <c r="E298" s="282"/>
      <c r="F298" s="236"/>
      <c r="G298" s="191"/>
      <c r="H298" s="277"/>
      <c r="I298" s="277"/>
      <c r="J298" s="191"/>
    </row>
    <row r="299" spans="1:10" ht="15.75">
      <c r="A299" s="236"/>
      <c r="B299" s="191"/>
      <c r="C299" s="236"/>
      <c r="D299" s="236"/>
      <c r="E299" s="236"/>
      <c r="F299" s="236"/>
      <c r="G299" s="191"/>
      <c r="H299" s="277"/>
      <c r="I299" s="277"/>
      <c r="J299" s="191"/>
    </row>
    <row r="300" spans="1:10" ht="15.75">
      <c r="A300" s="670" t="s">
        <v>545</v>
      </c>
      <c r="B300" s="685" t="s">
        <v>1</v>
      </c>
      <c r="C300" s="685" t="s">
        <v>673</v>
      </c>
      <c r="D300" s="666" t="s">
        <v>579</v>
      </c>
      <c r="E300" s="686"/>
      <c r="F300" s="667"/>
      <c r="G300" s="256"/>
      <c r="H300" s="277"/>
      <c r="I300" s="277"/>
      <c r="J300" s="191"/>
    </row>
    <row r="301" spans="1:10" ht="31.5">
      <c r="A301" s="671"/>
      <c r="B301" s="685"/>
      <c r="C301" s="685"/>
      <c r="D301" s="269" t="s">
        <v>674</v>
      </c>
      <c r="E301" s="235" t="s">
        <v>557</v>
      </c>
      <c r="F301" s="235" t="s">
        <v>563</v>
      </c>
      <c r="G301" s="271"/>
      <c r="H301" s="277"/>
      <c r="I301" s="277"/>
      <c r="J301" s="191"/>
    </row>
    <row r="302" spans="1:10" ht="15.75">
      <c r="A302" s="280">
        <v>1</v>
      </c>
      <c r="B302" s="281">
        <v>2</v>
      </c>
      <c r="C302" s="281">
        <v>3</v>
      </c>
      <c r="D302" s="273">
        <v>5</v>
      </c>
      <c r="E302" s="228">
        <v>5</v>
      </c>
      <c r="F302" s="228">
        <v>6</v>
      </c>
      <c r="G302" s="230"/>
      <c r="H302" s="277"/>
      <c r="I302" s="277"/>
      <c r="J302" s="191"/>
    </row>
    <row r="303" spans="1:10" ht="15.75">
      <c r="A303" s="199">
        <v>1</v>
      </c>
      <c r="B303" s="195" t="s">
        <v>820</v>
      </c>
      <c r="C303" s="201"/>
      <c r="D303" s="264">
        <f>F303</f>
        <v>11215.3</v>
      </c>
      <c r="E303" s="264"/>
      <c r="F303" s="264">
        <v>11215.3</v>
      </c>
      <c r="G303" s="275"/>
      <c r="H303" s="277"/>
      <c r="I303" s="277"/>
      <c r="J303" s="191"/>
    </row>
    <row r="304" spans="1:10" ht="15.75">
      <c r="A304" s="199">
        <v>2</v>
      </c>
      <c r="B304" s="195" t="s">
        <v>928</v>
      </c>
      <c r="C304" s="201"/>
      <c r="D304" s="264">
        <f>F304</f>
        <v>112000</v>
      </c>
      <c r="E304" s="264"/>
      <c r="F304" s="264">
        <f>2*56000</f>
        <v>112000</v>
      </c>
      <c r="G304" s="275"/>
      <c r="H304" s="277"/>
      <c r="I304" s="277"/>
      <c r="J304" s="191"/>
    </row>
    <row r="305" spans="1:10" ht="15.75">
      <c r="A305" s="683" t="s">
        <v>561</v>
      </c>
      <c r="B305" s="684"/>
      <c r="C305" s="201" t="s">
        <v>562</v>
      </c>
      <c r="D305" s="264">
        <f>D303+D304</f>
        <v>123215.3</v>
      </c>
      <c r="E305" s="264"/>
      <c r="F305" s="264">
        <f>F303+F304</f>
        <v>123215.3</v>
      </c>
      <c r="G305" s="275"/>
      <c r="H305" s="277"/>
      <c r="I305" s="277"/>
      <c r="J305" s="191"/>
    </row>
    <row r="306" spans="1:10" ht="15.75">
      <c r="A306" s="236"/>
      <c r="B306" s="191"/>
      <c r="C306" s="236"/>
      <c r="D306" s="236"/>
      <c r="E306" s="236"/>
      <c r="F306" s="236"/>
      <c r="G306" s="191"/>
      <c r="H306" s="277"/>
      <c r="I306" s="277"/>
      <c r="J306" s="191"/>
    </row>
    <row r="307" spans="1:10" ht="15.75" hidden="1">
      <c r="A307" s="282"/>
      <c r="B307" s="282" t="s">
        <v>900</v>
      </c>
      <c r="C307" s="282"/>
      <c r="D307" s="282"/>
      <c r="E307" s="282"/>
      <c r="F307" s="236"/>
      <c r="G307" s="191"/>
      <c r="H307" s="277"/>
      <c r="I307" s="277"/>
      <c r="J307" s="191"/>
    </row>
    <row r="308" spans="1:10" ht="15.75" hidden="1">
      <c r="A308" s="236"/>
      <c r="B308" s="191"/>
      <c r="C308" s="236"/>
      <c r="D308" s="236"/>
      <c r="E308" s="236"/>
      <c r="F308" s="236"/>
      <c r="G308" s="191"/>
      <c r="H308" s="277"/>
      <c r="I308" s="277"/>
      <c r="J308" s="191"/>
    </row>
    <row r="309" spans="1:10" ht="15.75" hidden="1">
      <c r="A309" s="670" t="s">
        <v>545</v>
      </c>
      <c r="B309" s="685" t="s">
        <v>1</v>
      </c>
      <c r="C309" s="685" t="s">
        <v>673</v>
      </c>
      <c r="D309" s="666" t="s">
        <v>579</v>
      </c>
      <c r="E309" s="686"/>
      <c r="F309" s="667"/>
      <c r="G309" s="256"/>
      <c r="H309" s="277"/>
      <c r="I309" s="277"/>
      <c r="J309" s="191"/>
    </row>
    <row r="310" spans="1:10" ht="31.5" hidden="1">
      <c r="A310" s="671"/>
      <c r="B310" s="685"/>
      <c r="C310" s="685"/>
      <c r="D310" s="269" t="s">
        <v>674</v>
      </c>
      <c r="E310" s="235" t="s">
        <v>557</v>
      </c>
      <c r="F310" s="235" t="s">
        <v>563</v>
      </c>
      <c r="G310" s="271"/>
      <c r="H310" s="277"/>
      <c r="I310" s="277"/>
      <c r="J310" s="191"/>
    </row>
    <row r="311" spans="1:10" ht="15.75" hidden="1">
      <c r="A311" s="280">
        <v>1</v>
      </c>
      <c r="B311" s="281">
        <v>2</v>
      </c>
      <c r="C311" s="281">
        <v>3</v>
      </c>
      <c r="D311" s="273">
        <v>5</v>
      </c>
      <c r="E311" s="228">
        <v>5</v>
      </c>
      <c r="F311" s="228">
        <v>6</v>
      </c>
      <c r="G311" s="230"/>
      <c r="H311" s="277"/>
      <c r="I311" s="277"/>
      <c r="J311" s="191"/>
    </row>
    <row r="312" spans="1:10" ht="15.75" hidden="1">
      <c r="A312" s="199">
        <v>1</v>
      </c>
      <c r="B312" s="195" t="s">
        <v>929</v>
      </c>
      <c r="C312" s="201">
        <v>2</v>
      </c>
      <c r="D312" s="274">
        <v>56000</v>
      </c>
      <c r="E312" s="274">
        <v>0</v>
      </c>
      <c r="F312" s="274"/>
      <c r="G312" s="275"/>
      <c r="H312" s="277"/>
      <c r="I312" s="277"/>
      <c r="J312" s="191"/>
    </row>
    <row r="313" spans="1:10" ht="15.75" hidden="1">
      <c r="A313" s="683" t="s">
        <v>561</v>
      </c>
      <c r="B313" s="684"/>
      <c r="C313" s="201" t="s">
        <v>562</v>
      </c>
      <c r="D313" s="274">
        <f>SUM(D312)</f>
        <v>56000</v>
      </c>
      <c r="E313" s="274">
        <v>0</v>
      </c>
      <c r="F313" s="274">
        <f>SUM(F312)</f>
        <v>0</v>
      </c>
      <c r="G313" s="275"/>
      <c r="H313" s="277"/>
      <c r="I313" s="277"/>
      <c r="J313" s="191"/>
    </row>
    <row r="314" spans="1:10" ht="15.75" hidden="1">
      <c r="A314" s="236"/>
      <c r="B314" s="191"/>
      <c r="C314" s="236"/>
      <c r="D314" s="236"/>
      <c r="E314" s="236"/>
      <c r="F314" s="236"/>
      <c r="G314" s="191"/>
      <c r="H314" s="277"/>
      <c r="I314" s="277"/>
      <c r="J314" s="191"/>
    </row>
    <row r="315" spans="1:10" ht="15.75">
      <c r="A315" s="236"/>
      <c r="B315" s="191"/>
      <c r="C315" s="236"/>
      <c r="D315" s="236"/>
      <c r="E315" s="236"/>
      <c r="F315" s="236"/>
      <c r="G315" s="191"/>
      <c r="H315" s="277"/>
      <c r="I315" s="277"/>
      <c r="J315" s="191"/>
    </row>
    <row r="316" spans="1:11" ht="149.25" customHeight="1">
      <c r="A316" s="682" t="s">
        <v>679</v>
      </c>
      <c r="B316" s="682"/>
      <c r="C316" s="682"/>
      <c r="D316" s="682"/>
      <c r="E316" s="682"/>
      <c r="F316" s="682"/>
      <c r="G316" s="682"/>
      <c r="H316" s="682"/>
      <c r="I316" s="682"/>
      <c r="J316" s="682"/>
      <c r="K316" s="682"/>
    </row>
    <row r="317" spans="1:10" ht="15.75">
      <c r="A317" s="236"/>
      <c r="B317" s="191"/>
      <c r="C317" s="236"/>
      <c r="D317" s="236"/>
      <c r="E317" s="236"/>
      <c r="F317" s="236"/>
      <c r="G317" s="191"/>
      <c r="H317" s="277"/>
      <c r="I317" s="277"/>
      <c r="J317" s="191"/>
    </row>
    <row r="318" spans="1:4" ht="15.75">
      <c r="A318" s="193"/>
      <c r="B318" s="193" t="s">
        <v>680</v>
      </c>
      <c r="C318" s="193"/>
      <c r="D318" s="193"/>
    </row>
    <row r="319" ht="15.75">
      <c r="B319" s="185"/>
    </row>
    <row r="320" spans="1:10" ht="25.5" customHeight="1">
      <c r="A320" s="670" t="s">
        <v>545</v>
      </c>
      <c r="B320" s="670" t="s">
        <v>566</v>
      </c>
      <c r="C320" s="672"/>
      <c r="D320" s="674" t="s">
        <v>651</v>
      </c>
      <c r="E320" s="676" t="s">
        <v>681</v>
      </c>
      <c r="F320" s="652" t="s">
        <v>579</v>
      </c>
      <c r="G320" s="652"/>
      <c r="H320" s="652"/>
      <c r="I320" s="308"/>
      <c r="J320" s="225"/>
    </row>
    <row r="321" spans="1:10" ht="54.75" customHeight="1">
      <c r="A321" s="671"/>
      <c r="B321" s="671"/>
      <c r="C321" s="673"/>
      <c r="D321" s="675"/>
      <c r="E321" s="677"/>
      <c r="F321" s="226" t="s">
        <v>682</v>
      </c>
      <c r="G321" s="226" t="s">
        <v>557</v>
      </c>
      <c r="H321" s="226" t="s">
        <v>563</v>
      </c>
      <c r="I321" s="191"/>
      <c r="J321" s="227"/>
    </row>
    <row r="322" spans="1:10" ht="15.75" customHeight="1">
      <c r="A322" s="231">
        <v>1</v>
      </c>
      <c r="B322" s="653">
        <v>2</v>
      </c>
      <c r="C322" s="654"/>
      <c r="D322" s="231">
        <v>3</v>
      </c>
      <c r="E322" s="231">
        <v>4</v>
      </c>
      <c r="F322" s="231">
        <v>5</v>
      </c>
      <c r="G322" s="231">
        <v>6</v>
      </c>
      <c r="H322" s="231">
        <v>7</v>
      </c>
      <c r="I322" s="277"/>
      <c r="J322" s="277"/>
    </row>
    <row r="323" spans="1:10" ht="15.75">
      <c r="A323" s="205"/>
      <c r="B323" s="666"/>
      <c r="C323" s="667"/>
      <c r="D323" s="205"/>
      <c r="E323" s="205"/>
      <c r="F323" s="205"/>
      <c r="G323" s="231"/>
      <c r="H323" s="231"/>
      <c r="I323" s="277"/>
      <c r="J323" s="191"/>
    </row>
    <row r="324" spans="1:10" ht="15.75">
      <c r="A324" s="205"/>
      <c r="B324" s="666"/>
      <c r="C324" s="667"/>
      <c r="D324" s="205"/>
      <c r="E324" s="205"/>
      <c r="F324" s="205"/>
      <c r="G324" s="205"/>
      <c r="H324" s="231"/>
      <c r="I324" s="277"/>
      <c r="J324" s="191"/>
    </row>
    <row r="325" spans="1:10" ht="15.75">
      <c r="A325" s="649" t="s">
        <v>571</v>
      </c>
      <c r="B325" s="650"/>
      <c r="C325" s="651"/>
      <c r="D325" s="199"/>
      <c r="E325" s="199" t="s">
        <v>562</v>
      </c>
      <c r="F325" s="199"/>
      <c r="G325" s="205"/>
      <c r="H325" s="205"/>
      <c r="I325" s="191"/>
      <c r="J325" s="191"/>
    </row>
    <row r="326" ht="15.75">
      <c r="B326" s="185"/>
    </row>
    <row r="327" spans="1:4" ht="15.75">
      <c r="A327" s="193"/>
      <c r="B327" s="193" t="s">
        <v>686</v>
      </c>
      <c r="C327" s="193"/>
      <c r="D327" s="193"/>
    </row>
    <row r="328" ht="15.75">
      <c r="B328" s="185"/>
    </row>
    <row r="329" spans="1:10" ht="25.5" customHeight="1">
      <c r="A329" s="670" t="s">
        <v>545</v>
      </c>
      <c r="B329" s="670" t="s">
        <v>566</v>
      </c>
      <c r="C329" s="672"/>
      <c r="D329" s="674" t="s">
        <v>651</v>
      </c>
      <c r="E329" s="676" t="s">
        <v>681</v>
      </c>
      <c r="F329" s="652" t="s">
        <v>579</v>
      </c>
      <c r="G329" s="652"/>
      <c r="H329" s="652"/>
      <c r="I329" s="308"/>
      <c r="J329" s="225"/>
    </row>
    <row r="330" spans="1:10" ht="54.75" customHeight="1">
      <c r="A330" s="671"/>
      <c r="B330" s="671"/>
      <c r="C330" s="673"/>
      <c r="D330" s="675"/>
      <c r="E330" s="677"/>
      <c r="F330" s="226" t="s">
        <v>682</v>
      </c>
      <c r="G330" s="226" t="s">
        <v>557</v>
      </c>
      <c r="H330" s="226" t="s">
        <v>563</v>
      </c>
      <c r="I330" s="191"/>
      <c r="J330" s="227"/>
    </row>
    <row r="331" spans="1:10" ht="15.75" customHeight="1">
      <c r="A331" s="231">
        <v>1</v>
      </c>
      <c r="B331" s="653">
        <v>2</v>
      </c>
      <c r="C331" s="654"/>
      <c r="D331" s="231">
        <v>3</v>
      </c>
      <c r="E331" s="231">
        <v>4</v>
      </c>
      <c r="F331" s="231">
        <v>5</v>
      </c>
      <c r="G331" s="231">
        <v>6</v>
      </c>
      <c r="H331" s="231">
        <v>7</v>
      </c>
      <c r="I331" s="277"/>
      <c r="J331" s="277"/>
    </row>
    <row r="332" spans="1:10" ht="15.75">
      <c r="A332" s="199">
        <v>1</v>
      </c>
      <c r="B332" s="666" t="s">
        <v>823</v>
      </c>
      <c r="C332" s="667"/>
      <c r="D332" s="205"/>
      <c r="E332" s="205"/>
      <c r="F332" s="264">
        <f>H332</f>
        <v>7042.14</v>
      </c>
      <c r="G332" s="354"/>
      <c r="H332" s="354">
        <v>7042.14</v>
      </c>
      <c r="I332" s="277"/>
      <c r="J332" s="191"/>
    </row>
    <row r="333" spans="1:10" ht="15.75">
      <c r="A333" s="199">
        <v>2</v>
      </c>
      <c r="B333" s="666" t="s">
        <v>821</v>
      </c>
      <c r="C333" s="667"/>
      <c r="D333" s="205"/>
      <c r="E333" s="205"/>
      <c r="F333" s="264">
        <f>H333</f>
        <v>1440</v>
      </c>
      <c r="G333" s="264"/>
      <c r="H333" s="354">
        <v>1440</v>
      </c>
      <c r="I333" s="277"/>
      <c r="J333" s="191"/>
    </row>
    <row r="334" spans="1:10" ht="15.75">
      <c r="A334" s="234">
        <v>3</v>
      </c>
      <c r="B334" s="666" t="s">
        <v>822</v>
      </c>
      <c r="C334" s="667"/>
      <c r="D334" s="205"/>
      <c r="E334" s="205"/>
      <c r="F334" s="264">
        <f>H334</f>
        <v>12915</v>
      </c>
      <c r="G334" s="264"/>
      <c r="H334" s="354">
        <v>12915</v>
      </c>
      <c r="I334" s="277"/>
      <c r="J334" s="191"/>
    </row>
    <row r="335" spans="1:10" ht="15.75">
      <c r="A335" s="649" t="s">
        <v>571</v>
      </c>
      <c r="B335" s="650"/>
      <c r="C335" s="651"/>
      <c r="D335" s="199"/>
      <c r="E335" s="199" t="s">
        <v>562</v>
      </c>
      <c r="F335" s="264">
        <f>F334+F333+F332</f>
        <v>21397.14</v>
      </c>
      <c r="G335" s="264"/>
      <c r="H335" s="264">
        <f>H334+H333+H332</f>
        <v>21397.14</v>
      </c>
      <c r="I335" s="191"/>
      <c r="J335" s="191"/>
    </row>
    <row r="336" spans="1:10" ht="15.75">
      <c r="A336" s="242"/>
      <c r="B336" s="242"/>
      <c r="C336" s="242"/>
      <c r="D336" s="236"/>
      <c r="E336" s="236"/>
      <c r="F336" s="364"/>
      <c r="G336" s="364"/>
      <c r="H336" s="364"/>
      <c r="I336" s="191"/>
      <c r="J336" s="191"/>
    </row>
    <row r="337" spans="1:4" ht="15.75">
      <c r="A337" s="193"/>
      <c r="B337" s="193" t="s">
        <v>952</v>
      </c>
      <c r="C337" s="193"/>
      <c r="D337" s="193"/>
    </row>
    <row r="338" ht="15.75">
      <c r="B338" s="185"/>
    </row>
    <row r="339" spans="1:10" ht="15.75">
      <c r="A339" s="670" t="s">
        <v>545</v>
      </c>
      <c r="B339" s="670" t="s">
        <v>566</v>
      </c>
      <c r="C339" s="672"/>
      <c r="D339" s="674" t="s">
        <v>651</v>
      </c>
      <c r="E339" s="676" t="s">
        <v>681</v>
      </c>
      <c r="F339" s="652" t="s">
        <v>579</v>
      </c>
      <c r="G339" s="652"/>
      <c r="H339" s="652"/>
      <c r="I339" s="308"/>
      <c r="J339" s="225"/>
    </row>
    <row r="340" spans="1:10" ht="47.25">
      <c r="A340" s="671"/>
      <c r="B340" s="671"/>
      <c r="C340" s="673"/>
      <c r="D340" s="675"/>
      <c r="E340" s="677"/>
      <c r="F340" s="226" t="s">
        <v>682</v>
      </c>
      <c r="G340" s="226" t="s">
        <v>557</v>
      </c>
      <c r="H340" s="226" t="s">
        <v>563</v>
      </c>
      <c r="I340" s="191"/>
      <c r="J340" s="227"/>
    </row>
    <row r="341" spans="1:10" ht="15.75">
      <c r="A341" s="231">
        <v>1</v>
      </c>
      <c r="B341" s="653">
        <v>2</v>
      </c>
      <c r="C341" s="654"/>
      <c r="D341" s="231">
        <v>3</v>
      </c>
      <c r="E341" s="231">
        <v>4</v>
      </c>
      <c r="F341" s="231">
        <v>5</v>
      </c>
      <c r="G341" s="231">
        <v>6</v>
      </c>
      <c r="H341" s="231">
        <v>7</v>
      </c>
      <c r="I341" s="277"/>
      <c r="J341" s="277"/>
    </row>
    <row r="342" spans="1:10" ht="15.75">
      <c r="A342" s="231">
        <v>1</v>
      </c>
      <c r="B342" s="653" t="s">
        <v>329</v>
      </c>
      <c r="C342" s="654"/>
      <c r="D342" s="231" t="s">
        <v>754</v>
      </c>
      <c r="E342" s="231" t="s">
        <v>754</v>
      </c>
      <c r="F342" s="231">
        <f>SUM(G342:H342)</f>
        <v>144982.13</v>
      </c>
      <c r="G342" s="231">
        <f>105204.41+39777.72</f>
        <v>144982.13</v>
      </c>
      <c r="H342" s="231">
        <v>0</v>
      </c>
      <c r="I342" s="277"/>
      <c r="J342" s="191"/>
    </row>
    <row r="343" spans="1:10" ht="15.75">
      <c r="A343" s="649" t="s">
        <v>571</v>
      </c>
      <c r="B343" s="650"/>
      <c r="C343" s="651"/>
      <c r="D343" s="199"/>
      <c r="E343" s="199" t="s">
        <v>562</v>
      </c>
      <c r="F343" s="314">
        <f>SUM(G343:H343)</f>
        <v>144982.13</v>
      </c>
      <c r="G343" s="231">
        <f>SUM(G342)</f>
        <v>144982.13</v>
      </c>
      <c r="H343" s="231">
        <v>0</v>
      </c>
      <c r="I343" s="191"/>
      <c r="J343" s="191"/>
    </row>
    <row r="344" spans="1:10" ht="15.75">
      <c r="A344" s="242"/>
      <c r="B344" s="242"/>
      <c r="C344" s="242"/>
      <c r="D344" s="236"/>
      <c r="E344" s="236"/>
      <c r="F344" s="364"/>
      <c r="G344" s="364"/>
      <c r="H344" s="364"/>
      <c r="I344" s="191"/>
      <c r="J344" s="191"/>
    </row>
    <row r="345" spans="1:11" ht="135" customHeight="1">
      <c r="A345" s="669" t="s">
        <v>692</v>
      </c>
      <c r="B345" s="669"/>
      <c r="C345" s="669"/>
      <c r="D345" s="669"/>
      <c r="E345" s="669"/>
      <c r="F345" s="669"/>
      <c r="G345" s="669"/>
      <c r="H345" s="669"/>
      <c r="I345" s="669"/>
      <c r="J345" s="669"/>
      <c r="K345" s="669"/>
    </row>
    <row r="346" ht="15.75">
      <c r="B346" s="185"/>
    </row>
    <row r="347" spans="1:4" ht="15.75">
      <c r="A347" s="193"/>
      <c r="B347" s="193" t="s">
        <v>693</v>
      </c>
      <c r="C347" s="193"/>
      <c r="D347" s="193"/>
    </row>
    <row r="348" ht="15.75">
      <c r="B348" s="185"/>
    </row>
    <row r="349" spans="1:10" ht="25.5" customHeight="1">
      <c r="A349" s="670" t="s">
        <v>545</v>
      </c>
      <c r="B349" s="670" t="s">
        <v>566</v>
      </c>
      <c r="C349" s="672"/>
      <c r="D349" s="674" t="s">
        <v>651</v>
      </c>
      <c r="E349" s="676" t="s">
        <v>681</v>
      </c>
      <c r="F349" s="652" t="s">
        <v>579</v>
      </c>
      <c r="G349" s="652"/>
      <c r="H349" s="652"/>
      <c r="I349" s="308"/>
      <c r="J349" s="225"/>
    </row>
    <row r="350" spans="1:10" ht="54.75" customHeight="1">
      <c r="A350" s="671"/>
      <c r="B350" s="671"/>
      <c r="C350" s="673"/>
      <c r="D350" s="675"/>
      <c r="E350" s="677"/>
      <c r="F350" s="226" t="s">
        <v>682</v>
      </c>
      <c r="G350" s="226" t="s">
        <v>557</v>
      </c>
      <c r="H350" s="226" t="s">
        <v>563</v>
      </c>
      <c r="I350" s="191"/>
      <c r="J350" s="227"/>
    </row>
    <row r="351" spans="1:10" ht="15.75" customHeight="1">
      <c r="A351" s="231">
        <v>1</v>
      </c>
      <c r="B351" s="653">
        <v>2</v>
      </c>
      <c r="C351" s="654"/>
      <c r="D351" s="231">
        <v>3</v>
      </c>
      <c r="E351" s="231">
        <v>4</v>
      </c>
      <c r="F351" s="231">
        <v>5</v>
      </c>
      <c r="G351" s="231">
        <v>6</v>
      </c>
      <c r="H351" s="231">
        <v>7</v>
      </c>
      <c r="I351" s="277"/>
      <c r="J351" s="277"/>
    </row>
    <row r="352" spans="1:10" ht="15.75">
      <c r="A352" s="205"/>
      <c r="B352" s="666"/>
      <c r="C352" s="667"/>
      <c r="D352" s="205"/>
      <c r="E352" s="205"/>
      <c r="F352" s="205"/>
      <c r="G352" s="231"/>
      <c r="H352" s="231"/>
      <c r="I352" s="277"/>
      <c r="J352" s="191"/>
    </row>
    <row r="353" spans="1:10" ht="15.75">
      <c r="A353" s="205"/>
      <c r="B353" s="666"/>
      <c r="C353" s="667"/>
      <c r="D353" s="205"/>
      <c r="E353" s="205"/>
      <c r="F353" s="205"/>
      <c r="G353" s="205"/>
      <c r="H353" s="231"/>
      <c r="I353" s="277"/>
      <c r="J353" s="191"/>
    </row>
    <row r="354" spans="1:10" ht="15.75">
      <c r="A354" s="649" t="s">
        <v>571</v>
      </c>
      <c r="B354" s="650"/>
      <c r="C354" s="651"/>
      <c r="D354" s="199"/>
      <c r="E354" s="199" t="s">
        <v>562</v>
      </c>
      <c r="F354" s="199"/>
      <c r="G354" s="205"/>
      <c r="H354" s="205"/>
      <c r="I354" s="191"/>
      <c r="J354" s="191"/>
    </row>
    <row r="357" spans="1:7" s="317" customFormat="1" ht="18.75">
      <c r="A357" s="315" t="s">
        <v>694</v>
      </c>
      <c r="B357" s="315"/>
      <c r="C357" s="315"/>
      <c r="D357" s="316"/>
      <c r="E357" s="316"/>
      <c r="F357" s="316"/>
      <c r="G357" s="316"/>
    </row>
    <row r="358" spans="1:4" s="317" customFormat="1" ht="15.75">
      <c r="A358" s="318"/>
      <c r="B358" s="319"/>
      <c r="C358" s="319"/>
      <c r="D358" s="320"/>
    </row>
    <row r="359" spans="1:5" s="317" customFormat="1" ht="42" customHeight="1">
      <c r="A359" s="321" t="s">
        <v>545</v>
      </c>
      <c r="B359" s="668" t="s">
        <v>695</v>
      </c>
      <c r="C359" s="668"/>
      <c r="D359" s="322" t="s">
        <v>696</v>
      </c>
      <c r="E359" s="323"/>
    </row>
    <row r="360" spans="1:5" s="317" customFormat="1" ht="24.75" customHeight="1">
      <c r="A360" s="324">
        <v>1</v>
      </c>
      <c r="B360" s="661" t="s">
        <v>697</v>
      </c>
      <c r="C360" s="661"/>
      <c r="D360" s="325">
        <f>J28+G75+G84+G123+H165+G203+F218+F233+G250+F261+G272+F283+F294+E305+G325+G335+G354+G64+G343++H184+G141+G92+J52</f>
        <v>5550967.024969999</v>
      </c>
      <c r="E360" s="323"/>
    </row>
    <row r="361" spans="1:5" s="317" customFormat="1" ht="24.75" customHeight="1">
      <c r="A361" s="324">
        <v>2</v>
      </c>
      <c r="B361" s="661" t="s">
        <v>563</v>
      </c>
      <c r="C361" s="661"/>
      <c r="D361" s="325">
        <f>J33+H75+H84+H123+I165+H203+G218+G233+H250+G261+H272+G283+G294+F305+H325+H335+H354+H64+F313+I184</f>
        <v>1145001.6393779998</v>
      </c>
      <c r="E361" s="515"/>
    </row>
    <row r="362" spans="1:5" s="317" customFormat="1" ht="25.5" customHeight="1">
      <c r="A362" s="662" t="s">
        <v>698</v>
      </c>
      <c r="B362" s="663"/>
      <c r="C362" s="664"/>
      <c r="D362" s="326">
        <f>SUM(D360:D361)</f>
        <v>6695968.664347999</v>
      </c>
      <c r="E362" s="515"/>
    </row>
    <row r="365" spans="1:5" ht="15.75">
      <c r="A365" s="185" t="s">
        <v>699</v>
      </c>
      <c r="C365" s="185" t="s">
        <v>700</v>
      </c>
      <c r="E365" s="185" t="s">
        <v>701</v>
      </c>
    </row>
    <row r="367" spans="1:3" ht="15.75">
      <c r="A367" s="185" t="s">
        <v>13</v>
      </c>
      <c r="C367" s="185" t="s">
        <v>700</v>
      </c>
    </row>
    <row r="368" spans="1:7" s="317" customFormat="1" ht="15.75">
      <c r="A368" s="327"/>
      <c r="B368" s="328"/>
      <c r="C368" s="328"/>
      <c r="D368" s="665"/>
      <c r="E368" s="665"/>
      <c r="F368" s="665"/>
      <c r="G368" s="665"/>
    </row>
  </sheetData>
  <sheetProtection/>
  <mergeCells count="261"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15:D115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34:B34"/>
    <mergeCell ref="A38:A40"/>
    <mergeCell ref="B38:B40"/>
    <mergeCell ref="C38:C40"/>
    <mergeCell ref="D38:G38"/>
    <mergeCell ref="H38:H40"/>
    <mergeCell ref="I38:I40"/>
    <mergeCell ref="J38:J40"/>
    <mergeCell ref="K38:K40"/>
    <mergeCell ref="E39:G39"/>
    <mergeCell ref="A52:B52"/>
    <mergeCell ref="A55:K55"/>
    <mergeCell ref="B56:K56"/>
    <mergeCell ref="B57:G57"/>
    <mergeCell ref="A59:A60"/>
    <mergeCell ref="B59:B60"/>
    <mergeCell ref="C59:C60"/>
    <mergeCell ref="D59:D60"/>
    <mergeCell ref="E59:E60"/>
    <mergeCell ref="F59:H59"/>
    <mergeCell ref="A64:B64"/>
    <mergeCell ref="B68:I68"/>
    <mergeCell ref="A70:A71"/>
    <mergeCell ref="B70:B71"/>
    <mergeCell ref="C70:C71"/>
    <mergeCell ref="D70:D71"/>
    <mergeCell ref="E70:E71"/>
    <mergeCell ref="F70:H70"/>
    <mergeCell ref="A75:B75"/>
    <mergeCell ref="B77:F77"/>
    <mergeCell ref="A79:A80"/>
    <mergeCell ref="B79:B80"/>
    <mergeCell ref="C79:C80"/>
    <mergeCell ref="D79:D80"/>
    <mergeCell ref="E79:E80"/>
    <mergeCell ref="F79:H79"/>
    <mergeCell ref="A84:B84"/>
    <mergeCell ref="B86:F86"/>
    <mergeCell ref="A88:A89"/>
    <mergeCell ref="B88:B89"/>
    <mergeCell ref="C88:C89"/>
    <mergeCell ref="D88:D89"/>
    <mergeCell ref="E88:E89"/>
    <mergeCell ref="F88:H88"/>
    <mergeCell ref="A92:B92"/>
    <mergeCell ref="B94:I94"/>
    <mergeCell ref="A96:A97"/>
    <mergeCell ref="B96:D97"/>
    <mergeCell ref="E96:E97"/>
    <mergeCell ref="F96:H96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A123:D123"/>
    <mergeCell ref="B125:I125"/>
    <mergeCell ref="A127:A128"/>
    <mergeCell ref="B127:D128"/>
    <mergeCell ref="E127:E128"/>
    <mergeCell ref="F127:H127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A141:D141"/>
    <mergeCell ref="A145:K145"/>
    <mergeCell ref="B146:F146"/>
    <mergeCell ref="A147:K147"/>
    <mergeCell ref="A153:A154"/>
    <mergeCell ref="B153:D154"/>
    <mergeCell ref="E153:E154"/>
    <mergeCell ref="F153:F154"/>
    <mergeCell ref="G153:I153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A165:D165"/>
    <mergeCell ref="A167:K167"/>
    <mergeCell ref="A173:A174"/>
    <mergeCell ref="B173:D174"/>
    <mergeCell ref="E173:E174"/>
    <mergeCell ref="F173:F174"/>
    <mergeCell ref="G173:I173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A184:D184"/>
    <mergeCell ref="A190:K190"/>
    <mergeCell ref="A192:K192"/>
    <mergeCell ref="A198:A199"/>
    <mergeCell ref="B198:C199"/>
    <mergeCell ref="D198:D199"/>
    <mergeCell ref="E198:E199"/>
    <mergeCell ref="F198:H198"/>
    <mergeCell ref="B200:C200"/>
    <mergeCell ref="B201:C201"/>
    <mergeCell ref="B202:C202"/>
    <mergeCell ref="A203:C203"/>
    <mergeCell ref="A205:K205"/>
    <mergeCell ref="A207:K207"/>
    <mergeCell ref="A208:E208"/>
    <mergeCell ref="A213:A214"/>
    <mergeCell ref="B213:B214"/>
    <mergeCell ref="C213:C214"/>
    <mergeCell ref="D213:D214"/>
    <mergeCell ref="E213:G213"/>
    <mergeCell ref="A218:B218"/>
    <mergeCell ref="A220:K220"/>
    <mergeCell ref="A222:K222"/>
    <mergeCell ref="A228:A229"/>
    <mergeCell ref="B228:B229"/>
    <mergeCell ref="C228:C229"/>
    <mergeCell ref="D228:D229"/>
    <mergeCell ref="E228:G228"/>
    <mergeCell ref="A233:B233"/>
    <mergeCell ref="A235:K235"/>
    <mergeCell ref="A237:K237"/>
    <mergeCell ref="A245:A246"/>
    <mergeCell ref="B245:B246"/>
    <mergeCell ref="C245:C246"/>
    <mergeCell ref="D245:D246"/>
    <mergeCell ref="E245:E246"/>
    <mergeCell ref="F245:H245"/>
    <mergeCell ref="A250:B250"/>
    <mergeCell ref="A252:K252"/>
    <mergeCell ref="A256:A257"/>
    <mergeCell ref="B256:B257"/>
    <mergeCell ref="C256:C257"/>
    <mergeCell ref="D256:D257"/>
    <mergeCell ref="E256:G256"/>
    <mergeCell ref="A261:B261"/>
    <mergeCell ref="A263:K263"/>
    <mergeCell ref="A267:A268"/>
    <mergeCell ref="B267:B268"/>
    <mergeCell ref="C267:C268"/>
    <mergeCell ref="D267:D268"/>
    <mergeCell ref="E267:E268"/>
    <mergeCell ref="F267:H267"/>
    <mergeCell ref="A272:B272"/>
    <mergeCell ref="A274:K274"/>
    <mergeCell ref="A278:A279"/>
    <mergeCell ref="B278:B279"/>
    <mergeCell ref="C278:C279"/>
    <mergeCell ref="D278:D279"/>
    <mergeCell ref="E278:G278"/>
    <mergeCell ref="A283:B283"/>
    <mergeCell ref="A285:K285"/>
    <mergeCell ref="A289:A290"/>
    <mergeCell ref="B289:B290"/>
    <mergeCell ref="C289:C290"/>
    <mergeCell ref="D289:D290"/>
    <mergeCell ref="E289:G289"/>
    <mergeCell ref="A294:B294"/>
    <mergeCell ref="A296:K296"/>
    <mergeCell ref="A300:A301"/>
    <mergeCell ref="B300:B301"/>
    <mergeCell ref="C300:C301"/>
    <mergeCell ref="D300:F300"/>
    <mergeCell ref="A305:B305"/>
    <mergeCell ref="A309:A310"/>
    <mergeCell ref="B309:B310"/>
    <mergeCell ref="C309:C310"/>
    <mergeCell ref="D309:F309"/>
    <mergeCell ref="A313:B313"/>
    <mergeCell ref="A316:K316"/>
    <mergeCell ref="A320:A321"/>
    <mergeCell ref="B320:C321"/>
    <mergeCell ref="D320:D321"/>
    <mergeCell ref="E320:E321"/>
    <mergeCell ref="F320:H320"/>
    <mergeCell ref="B322:C322"/>
    <mergeCell ref="B323:C323"/>
    <mergeCell ref="B324:C324"/>
    <mergeCell ref="A325:C325"/>
    <mergeCell ref="A329:A330"/>
    <mergeCell ref="B329:C330"/>
    <mergeCell ref="D329:D330"/>
    <mergeCell ref="E329:E330"/>
    <mergeCell ref="F329:H329"/>
    <mergeCell ref="B331:C331"/>
    <mergeCell ref="B332:C332"/>
    <mergeCell ref="B333:C333"/>
    <mergeCell ref="B334:C334"/>
    <mergeCell ref="A335:C335"/>
    <mergeCell ref="A339:A340"/>
    <mergeCell ref="B339:C340"/>
    <mergeCell ref="D339:D340"/>
    <mergeCell ref="E339:E340"/>
    <mergeCell ref="F339:H339"/>
    <mergeCell ref="B341:C341"/>
    <mergeCell ref="B342:C342"/>
    <mergeCell ref="A343:C343"/>
    <mergeCell ref="A345:K345"/>
    <mergeCell ref="A349:A350"/>
    <mergeCell ref="B349:C350"/>
    <mergeCell ref="D349:D350"/>
    <mergeCell ref="E349:E350"/>
    <mergeCell ref="F349:H349"/>
    <mergeCell ref="B361:C361"/>
    <mergeCell ref="A362:C362"/>
    <mergeCell ref="D368:E368"/>
    <mergeCell ref="F368:G368"/>
    <mergeCell ref="B351:C351"/>
    <mergeCell ref="B352:C352"/>
    <mergeCell ref="B353:C353"/>
    <mergeCell ref="A354:C354"/>
    <mergeCell ref="B359:C359"/>
    <mergeCell ref="B360:C3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4" manualBreakCount="4">
    <brk id="67" max="255" man="1"/>
    <brk id="123" max="255" man="1"/>
    <brk id="205" max="255" man="1"/>
    <brk id="2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7"/>
  <sheetViews>
    <sheetView tabSelected="1" view="pageBreakPreview" zoomScale="60" zoomScalePageLayoutView="0" workbookViewId="0" topLeftCell="A1">
      <selection activeCell="A349" sqref="A1:K16384"/>
    </sheetView>
  </sheetViews>
  <sheetFormatPr defaultColWidth="9.140625" defaultRowHeight="15"/>
  <cols>
    <col min="1" max="1" width="9.140625" style="185" customWidth="1"/>
    <col min="2" max="2" width="18.00390625" style="186" customWidth="1"/>
    <col min="3" max="3" width="20.57421875" style="185" customWidth="1"/>
    <col min="4" max="4" width="21.28125" style="185" customWidth="1"/>
    <col min="5" max="5" width="22.8515625" style="185" customWidth="1"/>
    <col min="6" max="6" width="26.00390625" style="185" customWidth="1"/>
    <col min="7" max="7" width="20.421875" style="185" customWidth="1"/>
    <col min="8" max="8" width="16.28125" style="185" customWidth="1"/>
    <col min="9" max="9" width="19.57421875" style="185" customWidth="1"/>
    <col min="10" max="10" width="23.00390625" style="185" customWidth="1"/>
    <col min="11" max="11" width="24.421875" style="185" customWidth="1"/>
    <col min="12" max="12" width="18.00390625" style="185" bestFit="1" customWidth="1"/>
    <col min="13" max="16384" width="9.140625" style="185" customWidth="1"/>
  </cols>
  <sheetData>
    <row r="1" spans="5:6" ht="15.75" customHeight="1">
      <c r="E1" s="746"/>
      <c r="F1" s="746"/>
    </row>
    <row r="2" spans="1:26" s="189" customFormat="1" ht="40.5" customHeight="1">
      <c r="A2" s="747" t="s">
        <v>539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2:26" s="189" customFormat="1" ht="15.75" customHeight="1">
      <c r="B3" s="748" t="s">
        <v>861</v>
      </c>
      <c r="C3" s="748"/>
      <c r="D3" s="748"/>
      <c r="E3" s="748"/>
      <c r="F3" s="748"/>
      <c r="G3" s="748"/>
      <c r="H3" s="748"/>
      <c r="I3" s="74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162" ht="20.25" customHeight="1">
      <c r="A4" s="749" t="s">
        <v>540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</row>
    <row r="5" spans="2:31" ht="15.75" customHeight="1">
      <c r="B5" s="185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2:31" ht="15.75" customHeight="1">
      <c r="B6" s="185" t="s">
        <v>541</v>
      </c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spans="2:31" ht="15.75" customHeight="1">
      <c r="B7" s="185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2:31" ht="15.75" customHeight="1">
      <c r="B8" s="185" t="s">
        <v>714</v>
      </c>
      <c r="D8" s="192" t="s">
        <v>715</v>
      </c>
      <c r="E8" s="192"/>
      <c r="F8" s="192"/>
      <c r="G8" s="192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2:31" ht="15.75" customHeight="1">
      <c r="B9" s="185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</row>
    <row r="10" spans="2:31" ht="15.75" customHeight="1">
      <c r="B10" s="193" t="s">
        <v>544</v>
      </c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</row>
    <row r="11" spans="2:31" ht="15.75" customHeight="1">
      <c r="B11" s="185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</row>
    <row r="12" spans="1:83" ht="48" customHeight="1">
      <c r="A12" s="739" t="s">
        <v>545</v>
      </c>
      <c r="B12" s="740" t="s">
        <v>546</v>
      </c>
      <c r="C12" s="740" t="s">
        <v>547</v>
      </c>
      <c r="D12" s="743" t="s">
        <v>548</v>
      </c>
      <c r="E12" s="744"/>
      <c r="F12" s="744"/>
      <c r="G12" s="745"/>
      <c r="H12" s="730" t="s">
        <v>549</v>
      </c>
      <c r="I12" s="730" t="s">
        <v>550</v>
      </c>
      <c r="J12" s="730" t="s">
        <v>551</v>
      </c>
      <c r="K12" s="733" t="s">
        <v>552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1"/>
      <c r="BY12" s="191"/>
      <c r="BZ12" s="191"/>
      <c r="CA12" s="191"/>
      <c r="CB12" s="191"/>
      <c r="CC12" s="191"/>
      <c r="CD12" s="191"/>
      <c r="CE12" s="191"/>
    </row>
    <row r="13" spans="1:73" ht="15.75" customHeight="1">
      <c r="A13" s="739"/>
      <c r="B13" s="741"/>
      <c r="C13" s="741"/>
      <c r="D13" s="195" t="s">
        <v>36</v>
      </c>
      <c r="E13" s="734" t="s">
        <v>4</v>
      </c>
      <c r="F13" s="735"/>
      <c r="G13" s="735"/>
      <c r="H13" s="731"/>
      <c r="I13" s="731"/>
      <c r="J13" s="731"/>
      <c r="K13" s="73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</row>
    <row r="14" spans="1:31" ht="46.5" customHeight="1">
      <c r="A14" s="739"/>
      <c r="B14" s="742"/>
      <c r="C14" s="742"/>
      <c r="D14" s="197"/>
      <c r="E14" s="198" t="s">
        <v>553</v>
      </c>
      <c r="F14" s="198" t="s">
        <v>554</v>
      </c>
      <c r="G14" s="196" t="s">
        <v>555</v>
      </c>
      <c r="H14" s="732"/>
      <c r="I14" s="732"/>
      <c r="J14" s="732"/>
      <c r="K14" s="73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1"/>
      <c r="AB14" s="191"/>
      <c r="AC14" s="191"/>
      <c r="AD14" s="191"/>
      <c r="AE14" s="191"/>
    </row>
    <row r="15" spans="1:31" ht="15.75" customHeight="1">
      <c r="A15" s="199">
        <v>1</v>
      </c>
      <c r="B15" s="200">
        <v>2</v>
      </c>
      <c r="C15" s="200">
        <v>3</v>
      </c>
      <c r="D15" s="201">
        <v>4</v>
      </c>
      <c r="E15" s="202">
        <v>5</v>
      </c>
      <c r="F15" s="203">
        <v>6</v>
      </c>
      <c r="G15" s="200">
        <v>7</v>
      </c>
      <c r="H15" s="200">
        <v>8</v>
      </c>
      <c r="I15" s="200">
        <v>9</v>
      </c>
      <c r="J15" s="203">
        <v>10</v>
      </c>
      <c r="K15" s="203">
        <v>11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191"/>
      <c r="AB15" s="191"/>
      <c r="AC15" s="191"/>
      <c r="AD15" s="191"/>
      <c r="AE15" s="191"/>
    </row>
    <row r="16" spans="1:31" ht="15.75" customHeight="1">
      <c r="A16" s="205"/>
      <c r="B16" s="345" t="s">
        <v>556</v>
      </c>
      <c r="C16" s="329">
        <v>4</v>
      </c>
      <c r="D16" s="329">
        <f>1782.7+4999.97</f>
        <v>6782.67</v>
      </c>
      <c r="E16" s="238"/>
      <c r="F16" s="238"/>
      <c r="G16" s="329"/>
      <c r="H16" s="329"/>
      <c r="I16" s="329">
        <v>1.15</v>
      </c>
      <c r="J16" s="238">
        <f aca="true" t="shared" si="0" ref="J16:J23">(C16*D16*(1+H16/100)*I16*12)</f>
        <v>374403.38399999996</v>
      </c>
      <c r="K16" s="346" t="s">
        <v>716</v>
      </c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</row>
    <row r="17" spans="1:31" ht="15.75" customHeight="1">
      <c r="A17" s="205"/>
      <c r="B17" s="345" t="s">
        <v>558</v>
      </c>
      <c r="C17" s="329">
        <v>3</v>
      </c>
      <c r="D17" s="329">
        <f>1782.7+5000</f>
        <v>6782.7</v>
      </c>
      <c r="E17" s="238"/>
      <c r="F17" s="238"/>
      <c r="G17" s="329"/>
      <c r="H17" s="329"/>
      <c r="I17" s="329">
        <v>1.15</v>
      </c>
      <c r="J17" s="238">
        <f t="shared" si="0"/>
        <v>280803.7799999999</v>
      </c>
      <c r="K17" s="346" t="s">
        <v>716</v>
      </c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</row>
    <row r="18" spans="1:31" ht="15.75" customHeight="1">
      <c r="A18" s="205"/>
      <c r="B18" s="345" t="s">
        <v>559</v>
      </c>
      <c r="C18" s="329">
        <v>44</v>
      </c>
      <c r="D18" s="329">
        <f>3060+3103.13</f>
        <v>6163.13</v>
      </c>
      <c r="E18" s="238"/>
      <c r="F18" s="238"/>
      <c r="G18" s="329"/>
      <c r="H18" s="329"/>
      <c r="I18" s="329">
        <v>1.15</v>
      </c>
      <c r="J18" s="238">
        <f t="shared" si="0"/>
        <v>3742252.5360000003</v>
      </c>
      <c r="K18" s="346" t="s">
        <v>716</v>
      </c>
      <c r="L18" s="560">
        <f>J16+J17+J18+J19</f>
        <v>4495864.74</v>
      </c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</row>
    <row r="19" spans="1:31" ht="15.75" customHeight="1">
      <c r="A19" s="205"/>
      <c r="B19" s="345" t="s">
        <v>560</v>
      </c>
      <c r="C19" s="329">
        <v>4</v>
      </c>
      <c r="D19" s="329">
        <v>1782.7</v>
      </c>
      <c r="E19" s="238"/>
      <c r="F19" s="238"/>
      <c r="G19" s="329"/>
      <c r="H19" s="329"/>
      <c r="I19" s="329">
        <v>1.15</v>
      </c>
      <c r="J19" s="238">
        <f t="shared" si="0"/>
        <v>98405.04000000001</v>
      </c>
      <c r="K19" s="346" t="s">
        <v>716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ht="15.75" customHeight="1">
      <c r="A20" s="205"/>
      <c r="B20" s="345" t="s">
        <v>556</v>
      </c>
      <c r="C20" s="329">
        <v>2</v>
      </c>
      <c r="D20" s="329">
        <f>SUM(E20:H20)</f>
        <v>6123.37</v>
      </c>
      <c r="E20" s="329">
        <v>6123.37</v>
      </c>
      <c r="F20" s="202">
        <v>0</v>
      </c>
      <c r="G20" s="214">
        <v>0</v>
      </c>
      <c r="H20" s="214">
        <v>0</v>
      </c>
      <c r="I20" s="214">
        <v>1.15</v>
      </c>
      <c r="J20" s="238">
        <f t="shared" si="0"/>
        <v>169005.012</v>
      </c>
      <c r="K20" s="346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ht="15.75" customHeight="1">
      <c r="A21" s="205"/>
      <c r="B21" s="345" t="s">
        <v>558</v>
      </c>
      <c r="C21" s="329">
        <v>10</v>
      </c>
      <c r="D21" s="329">
        <f>SUM(E21:H21)</f>
        <v>4236.51</v>
      </c>
      <c r="E21" s="329">
        <v>4236.51</v>
      </c>
      <c r="F21" s="202">
        <v>0</v>
      </c>
      <c r="G21" s="214">
        <v>0</v>
      </c>
      <c r="H21" s="214">
        <v>0</v>
      </c>
      <c r="I21" s="214">
        <v>1.15</v>
      </c>
      <c r="J21" s="238">
        <f t="shared" si="0"/>
        <v>584638.3800000001</v>
      </c>
      <c r="K21" s="346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ht="15.75" customHeight="1">
      <c r="A22" s="205"/>
      <c r="B22" s="345" t="s">
        <v>559</v>
      </c>
      <c r="C22" s="329">
        <v>5</v>
      </c>
      <c r="D22" s="329">
        <f>SUM(E22:H22)</f>
        <v>3674.99</v>
      </c>
      <c r="E22" s="329">
        <v>3674.99</v>
      </c>
      <c r="F22" s="202">
        <v>0</v>
      </c>
      <c r="G22" s="214">
        <v>0</v>
      </c>
      <c r="H22" s="214">
        <v>0</v>
      </c>
      <c r="I22" s="214">
        <v>1.15</v>
      </c>
      <c r="J22" s="238">
        <f t="shared" si="0"/>
        <v>253574.30999999994</v>
      </c>
      <c r="K22" s="346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ht="15.75" customHeight="1">
      <c r="A23" s="205"/>
      <c r="B23" s="345" t="s">
        <v>560</v>
      </c>
      <c r="C23" s="329">
        <v>5</v>
      </c>
      <c r="D23" s="329">
        <f>SUM(E23:H23)</f>
        <v>3204.09</v>
      </c>
      <c r="E23" s="329">
        <v>3204.09</v>
      </c>
      <c r="F23" s="202">
        <v>0</v>
      </c>
      <c r="G23" s="214">
        <v>0</v>
      </c>
      <c r="H23" s="214">
        <v>0</v>
      </c>
      <c r="I23" s="214">
        <v>1.15</v>
      </c>
      <c r="J23" s="238">
        <f t="shared" si="0"/>
        <v>221082.20999999996</v>
      </c>
      <c r="K23" s="346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ht="15.75" customHeight="1">
      <c r="A24" s="205"/>
      <c r="B24" s="345" t="s">
        <v>561</v>
      </c>
      <c r="C24" s="201" t="s">
        <v>562</v>
      </c>
      <c r="D24" s="201"/>
      <c r="E24" s="202" t="s">
        <v>562</v>
      </c>
      <c r="F24" s="202" t="s">
        <v>562</v>
      </c>
      <c r="G24" s="214" t="s">
        <v>562</v>
      </c>
      <c r="H24" s="214" t="s">
        <v>562</v>
      </c>
      <c r="I24" s="214" t="s">
        <v>562</v>
      </c>
      <c r="J24" s="349">
        <f>SUM(J20:J23)</f>
        <v>1228299.912</v>
      </c>
      <c r="K24" s="346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ht="15.75" customHeight="1">
      <c r="A25" s="205"/>
      <c r="B25" s="345"/>
      <c r="C25" s="329"/>
      <c r="D25" s="329"/>
      <c r="E25" s="238"/>
      <c r="F25" s="238"/>
      <c r="G25" s="329"/>
      <c r="H25" s="329"/>
      <c r="I25" s="329"/>
      <c r="J25" s="238"/>
      <c r="K25" s="346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ht="15.75" customHeight="1">
      <c r="A26" s="205"/>
      <c r="B26" s="347" t="s">
        <v>561</v>
      </c>
      <c r="C26" s="348" t="s">
        <v>562</v>
      </c>
      <c r="D26" s="348"/>
      <c r="E26" s="349" t="s">
        <v>562</v>
      </c>
      <c r="F26" s="349" t="s">
        <v>562</v>
      </c>
      <c r="G26" s="348" t="s">
        <v>562</v>
      </c>
      <c r="H26" s="348" t="s">
        <v>562</v>
      </c>
      <c r="I26" s="348" t="s">
        <v>562</v>
      </c>
      <c r="J26" s="350">
        <f>SUM(J16:J19)+J24</f>
        <v>5724164.652000001</v>
      </c>
      <c r="K26" s="351" t="s">
        <v>562</v>
      </c>
      <c r="L26" s="393">
        <f>F94+J26</f>
        <v>7452862.302000001</v>
      </c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11" ht="15.75" customHeight="1">
      <c r="A27" s="191"/>
      <c r="B27" s="219"/>
      <c r="C27" s="220"/>
      <c r="D27" s="219"/>
      <c r="E27" s="219"/>
      <c r="F27" s="219"/>
      <c r="G27" s="219"/>
      <c r="H27" s="219"/>
      <c r="I27" s="219"/>
      <c r="J27" s="221"/>
      <c r="K27" s="222"/>
    </row>
    <row r="28" spans="1:160" ht="15.75" customHeight="1" hidden="1">
      <c r="A28" s="749" t="s">
        <v>930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</row>
    <row r="29" spans="2:29" ht="15.75" customHeight="1" hidden="1">
      <c r="B29" s="185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</row>
    <row r="30" spans="2:29" ht="15.75" customHeight="1" hidden="1">
      <c r="B30" s="185" t="s">
        <v>541</v>
      </c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</row>
    <row r="31" spans="2:29" ht="15.75" customHeight="1" hidden="1">
      <c r="B31" s="185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</row>
    <row r="32" spans="2:29" ht="15.75" customHeight="1" hidden="1">
      <c r="B32" s="185" t="s">
        <v>714</v>
      </c>
      <c r="D32" s="192" t="s">
        <v>715</v>
      </c>
      <c r="E32" s="192"/>
      <c r="F32" s="192"/>
      <c r="G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</row>
    <row r="33" spans="2:29" ht="15.75" customHeight="1" hidden="1">
      <c r="B33" s="185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</row>
    <row r="34" spans="2:29" ht="15.75" customHeight="1" hidden="1">
      <c r="B34" s="193" t="s">
        <v>544</v>
      </c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</row>
    <row r="35" spans="2:29" ht="15.75" customHeight="1" hidden="1">
      <c r="B35" s="185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</row>
    <row r="36" spans="1:81" ht="15.75" customHeight="1" hidden="1">
      <c r="A36" s="739" t="s">
        <v>545</v>
      </c>
      <c r="B36" s="740" t="s">
        <v>546</v>
      </c>
      <c r="C36" s="740" t="s">
        <v>547</v>
      </c>
      <c r="D36" s="743" t="s">
        <v>548</v>
      </c>
      <c r="E36" s="744"/>
      <c r="F36" s="744"/>
      <c r="G36" s="745"/>
      <c r="H36" s="730" t="s">
        <v>549</v>
      </c>
      <c r="I36" s="730" t="s">
        <v>550</v>
      </c>
      <c r="J36" s="730" t="s">
        <v>551</v>
      </c>
      <c r="K36" s="733" t="s">
        <v>552</v>
      </c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1"/>
      <c r="BW36" s="191"/>
      <c r="BX36" s="191"/>
      <c r="BY36" s="191"/>
      <c r="BZ36" s="191"/>
      <c r="CA36" s="191"/>
      <c r="CB36" s="191"/>
      <c r="CC36" s="191"/>
    </row>
    <row r="37" spans="1:71" ht="15.75" customHeight="1" hidden="1">
      <c r="A37" s="739"/>
      <c r="B37" s="741"/>
      <c r="C37" s="741"/>
      <c r="D37" s="195" t="s">
        <v>36</v>
      </c>
      <c r="E37" s="734" t="s">
        <v>4</v>
      </c>
      <c r="F37" s="735"/>
      <c r="G37" s="735"/>
      <c r="H37" s="731"/>
      <c r="I37" s="731"/>
      <c r="J37" s="731"/>
      <c r="K37" s="733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</row>
    <row r="38" spans="1:29" ht="15.75" customHeight="1" hidden="1">
      <c r="A38" s="739"/>
      <c r="B38" s="742"/>
      <c r="C38" s="742"/>
      <c r="D38" s="197"/>
      <c r="E38" s="198" t="s">
        <v>553</v>
      </c>
      <c r="F38" s="198" t="s">
        <v>554</v>
      </c>
      <c r="G38" s="196" t="s">
        <v>555</v>
      </c>
      <c r="H38" s="732"/>
      <c r="I38" s="732"/>
      <c r="J38" s="732"/>
      <c r="K38" s="733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1"/>
      <c r="Z38" s="191"/>
      <c r="AA38" s="191"/>
      <c r="AB38" s="191"/>
      <c r="AC38" s="191"/>
    </row>
    <row r="39" spans="1:29" ht="15.75" customHeight="1" hidden="1">
      <c r="A39" s="199">
        <v>1</v>
      </c>
      <c r="B39" s="200">
        <v>2</v>
      </c>
      <c r="C39" s="200">
        <v>3</v>
      </c>
      <c r="D39" s="201">
        <v>4</v>
      </c>
      <c r="E39" s="202">
        <v>5</v>
      </c>
      <c r="F39" s="203">
        <v>6</v>
      </c>
      <c r="G39" s="200">
        <v>7</v>
      </c>
      <c r="H39" s="200">
        <v>8</v>
      </c>
      <c r="I39" s="200">
        <v>9</v>
      </c>
      <c r="J39" s="203">
        <v>10</v>
      </c>
      <c r="K39" s="203">
        <v>11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191"/>
      <c r="Z39" s="191"/>
      <c r="AA39" s="191"/>
      <c r="AB39" s="191"/>
      <c r="AC39" s="191"/>
    </row>
    <row r="40" spans="1:29" ht="15.75" customHeight="1" hidden="1">
      <c r="A40" s="205"/>
      <c r="B40" s="345" t="s">
        <v>556</v>
      </c>
      <c r="C40" s="329">
        <v>2</v>
      </c>
      <c r="D40" s="329">
        <f>SUM(E40:H40)</f>
        <v>6123.37</v>
      </c>
      <c r="E40" s="329">
        <v>6123.37</v>
      </c>
      <c r="F40" s="202">
        <v>0</v>
      </c>
      <c r="G40" s="214">
        <v>0</v>
      </c>
      <c r="H40" s="214">
        <v>0</v>
      </c>
      <c r="I40" s="214">
        <v>1.15</v>
      </c>
      <c r="J40" s="238"/>
      <c r="K40" s="210" t="s">
        <v>716</v>
      </c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</row>
    <row r="41" spans="1:29" ht="15.75" customHeight="1" hidden="1">
      <c r="A41" s="205"/>
      <c r="B41" s="345" t="s">
        <v>558</v>
      </c>
      <c r="C41" s="329">
        <v>10</v>
      </c>
      <c r="D41" s="329">
        <f>SUM(E41:H41)</f>
        <v>4236.51</v>
      </c>
      <c r="E41" s="329">
        <v>4236.51</v>
      </c>
      <c r="F41" s="202">
        <v>0</v>
      </c>
      <c r="G41" s="214">
        <v>0</v>
      </c>
      <c r="H41" s="214">
        <v>0</v>
      </c>
      <c r="I41" s="214">
        <v>1.15</v>
      </c>
      <c r="J41" s="238"/>
      <c r="K41" s="210" t="s">
        <v>716</v>
      </c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</row>
    <row r="42" spans="1:29" ht="15.75" customHeight="1" hidden="1">
      <c r="A42" s="205"/>
      <c r="B42" s="345" t="s">
        <v>559</v>
      </c>
      <c r="C42" s="329">
        <v>5</v>
      </c>
      <c r="D42" s="329">
        <f>SUM(E42:H42)</f>
        <v>3674.99</v>
      </c>
      <c r="E42" s="329">
        <v>3674.99</v>
      </c>
      <c r="F42" s="202">
        <v>0</v>
      </c>
      <c r="G42" s="214">
        <v>0</v>
      </c>
      <c r="H42" s="214">
        <v>0</v>
      </c>
      <c r="I42" s="214">
        <v>1.15</v>
      </c>
      <c r="J42" s="238"/>
      <c r="K42" s="210" t="s">
        <v>716</v>
      </c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</row>
    <row r="43" spans="1:29" ht="15.75" customHeight="1" hidden="1">
      <c r="A43" s="205"/>
      <c r="B43" s="345" t="s">
        <v>560</v>
      </c>
      <c r="C43" s="329">
        <v>5</v>
      </c>
      <c r="D43" s="329">
        <f>SUM(E43:H43)</f>
        <v>3204.09</v>
      </c>
      <c r="E43" s="329">
        <v>3204.09</v>
      </c>
      <c r="F43" s="202">
        <v>0</v>
      </c>
      <c r="G43" s="214">
        <v>0</v>
      </c>
      <c r="H43" s="214">
        <v>0</v>
      </c>
      <c r="I43" s="214">
        <v>1.15</v>
      </c>
      <c r="J43" s="238"/>
      <c r="K43" s="210" t="s">
        <v>716</v>
      </c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</row>
    <row r="44" spans="1:29" ht="15.75" customHeight="1" hidden="1">
      <c r="A44" s="205"/>
      <c r="B44" s="345" t="s">
        <v>561</v>
      </c>
      <c r="C44" s="201" t="s">
        <v>562</v>
      </c>
      <c r="D44" s="201"/>
      <c r="E44" s="202" t="s">
        <v>562</v>
      </c>
      <c r="F44" s="202" t="s">
        <v>562</v>
      </c>
      <c r="G44" s="214" t="s">
        <v>562</v>
      </c>
      <c r="H44" s="214" t="s">
        <v>562</v>
      </c>
      <c r="I44" s="214" t="s">
        <v>562</v>
      </c>
      <c r="J44" s="238"/>
      <c r="K44" s="202" t="s">
        <v>562</v>
      </c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</row>
    <row r="45" spans="1:11" ht="15.75" customHeight="1" hidden="1">
      <c r="A45" s="736" t="s">
        <v>561</v>
      </c>
      <c r="B45" s="737"/>
      <c r="C45" s="520"/>
      <c r="D45" s="216"/>
      <c r="E45" s="216"/>
      <c r="F45" s="216"/>
      <c r="G45" s="216"/>
      <c r="H45" s="216"/>
      <c r="I45" s="216"/>
      <c r="J45" s="350">
        <f>J44</f>
        <v>0</v>
      </c>
      <c r="K45" s="218"/>
    </row>
    <row r="46" spans="1:11" ht="208.5" customHeight="1">
      <c r="A46" s="738" t="s">
        <v>564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</row>
    <row r="47" spans="2:11" ht="15.75" customHeight="1">
      <c r="B47" s="728"/>
      <c r="C47" s="728"/>
      <c r="D47" s="728"/>
      <c r="E47" s="728"/>
      <c r="F47" s="728"/>
      <c r="G47" s="728"/>
      <c r="H47" s="728"/>
      <c r="I47" s="728"/>
      <c r="J47" s="728"/>
      <c r="K47" s="728"/>
    </row>
    <row r="48" spans="2:9" ht="21" customHeight="1">
      <c r="B48" s="729" t="s">
        <v>565</v>
      </c>
      <c r="C48" s="729"/>
      <c r="D48" s="729"/>
      <c r="E48" s="729"/>
      <c r="F48" s="729"/>
      <c r="G48" s="729"/>
      <c r="H48" s="729"/>
      <c r="I48" s="729"/>
    </row>
    <row r="50" spans="1:9" ht="45" customHeight="1">
      <c r="A50" s="674" t="s">
        <v>545</v>
      </c>
      <c r="B50" s="676" t="s">
        <v>566</v>
      </c>
      <c r="C50" s="676" t="s">
        <v>567</v>
      </c>
      <c r="D50" s="676" t="s">
        <v>568</v>
      </c>
      <c r="E50" s="676" t="s">
        <v>569</v>
      </c>
      <c r="F50" s="226" t="s">
        <v>717</v>
      </c>
      <c r="G50" s="352"/>
      <c r="H50" s="352"/>
      <c r="I50" s="225"/>
    </row>
    <row r="51" spans="1:9" ht="39.75" customHeight="1">
      <c r="A51" s="675"/>
      <c r="B51" s="677"/>
      <c r="C51" s="677"/>
      <c r="D51" s="677"/>
      <c r="E51" s="677"/>
      <c r="F51" s="268" t="s">
        <v>718</v>
      </c>
      <c r="G51" s="353"/>
      <c r="H51" s="352"/>
      <c r="I51" s="227"/>
    </row>
    <row r="52" spans="1:9" ht="15.75">
      <c r="A52" s="205">
        <v>1</v>
      </c>
      <c r="B52" s="228">
        <v>2</v>
      </c>
      <c r="C52" s="228">
        <v>3</v>
      </c>
      <c r="D52" s="228">
        <v>4</v>
      </c>
      <c r="E52" s="228">
        <v>5</v>
      </c>
      <c r="F52" s="228">
        <v>6</v>
      </c>
      <c r="G52" s="230"/>
      <c r="H52" s="230"/>
      <c r="I52" s="230"/>
    </row>
    <row r="53" spans="1:9" ht="15.75">
      <c r="A53" s="205"/>
      <c r="B53" s="199"/>
      <c r="C53" s="205"/>
      <c r="D53" s="205"/>
      <c r="E53" s="205"/>
      <c r="F53" s="354"/>
      <c r="G53" s="277"/>
      <c r="H53" s="277"/>
      <c r="I53" s="191"/>
    </row>
    <row r="54" spans="1:9" ht="15.75">
      <c r="A54" s="205"/>
      <c r="B54" s="199"/>
      <c r="C54" s="205"/>
      <c r="D54" s="205"/>
      <c r="E54" s="205"/>
      <c r="F54" s="355"/>
      <c r="G54" s="277"/>
      <c r="H54" s="277"/>
      <c r="I54" s="191"/>
    </row>
    <row r="55" spans="1:9" ht="15.75">
      <c r="A55" s="649" t="s">
        <v>571</v>
      </c>
      <c r="B55" s="651"/>
      <c r="C55" s="199" t="s">
        <v>562</v>
      </c>
      <c r="D55" s="199" t="s">
        <v>562</v>
      </c>
      <c r="E55" s="199" t="s">
        <v>562</v>
      </c>
      <c r="F55" s="355">
        <f>SUM(F53:F54)</f>
        <v>0</v>
      </c>
      <c r="G55" s="277"/>
      <c r="H55" s="277"/>
      <c r="I55" s="191"/>
    </row>
    <row r="57" spans="2:6" ht="15.75">
      <c r="B57" s="727" t="s">
        <v>572</v>
      </c>
      <c r="C57" s="727"/>
      <c r="D57" s="727"/>
      <c r="E57" s="727"/>
      <c r="F57" s="727"/>
    </row>
    <row r="59" spans="1:9" ht="39.75" customHeight="1">
      <c r="A59" s="674" t="s">
        <v>545</v>
      </c>
      <c r="B59" s="676" t="s">
        <v>566</v>
      </c>
      <c r="C59" s="676" t="s">
        <v>573</v>
      </c>
      <c r="D59" s="676" t="s">
        <v>574</v>
      </c>
      <c r="E59" s="676" t="s">
        <v>575</v>
      </c>
      <c r="F59" s="226" t="s">
        <v>717</v>
      </c>
      <c r="G59" s="352"/>
      <c r="H59" s="352"/>
      <c r="I59" s="225"/>
    </row>
    <row r="60" spans="1:9" ht="39" customHeight="1">
      <c r="A60" s="675"/>
      <c r="B60" s="677"/>
      <c r="C60" s="677"/>
      <c r="D60" s="677"/>
      <c r="E60" s="677"/>
      <c r="F60" s="268" t="s">
        <v>718</v>
      </c>
      <c r="G60" s="353"/>
      <c r="H60" s="352"/>
      <c r="I60" s="227"/>
    </row>
    <row r="61" spans="1:9" ht="15.75">
      <c r="A61" s="205">
        <v>1</v>
      </c>
      <c r="B61" s="228">
        <v>2</v>
      </c>
      <c r="C61" s="228">
        <v>3</v>
      </c>
      <c r="D61" s="228">
        <v>4</v>
      </c>
      <c r="E61" s="228">
        <v>5</v>
      </c>
      <c r="F61" s="228">
        <v>6</v>
      </c>
      <c r="G61" s="230"/>
      <c r="H61" s="230"/>
      <c r="I61" s="230"/>
    </row>
    <row r="62" spans="1:9" ht="15.75">
      <c r="A62" s="205"/>
      <c r="B62" s="199"/>
      <c r="C62" s="205"/>
      <c r="D62" s="205"/>
      <c r="E62" s="205"/>
      <c r="F62" s="354"/>
      <c r="G62" s="277"/>
      <c r="H62" s="277"/>
      <c r="I62" s="191"/>
    </row>
    <row r="63" spans="1:9" ht="15.75">
      <c r="A63" s="205"/>
      <c r="B63" s="199"/>
      <c r="C63" s="205"/>
      <c r="D63" s="205"/>
      <c r="E63" s="205"/>
      <c r="F63" s="355"/>
      <c r="G63" s="277"/>
      <c r="H63" s="277"/>
      <c r="I63" s="191"/>
    </row>
    <row r="64" spans="1:9" ht="15.75">
      <c r="A64" s="649" t="s">
        <v>571</v>
      </c>
      <c r="B64" s="651"/>
      <c r="C64" s="199" t="s">
        <v>562</v>
      </c>
      <c r="D64" s="199" t="s">
        <v>562</v>
      </c>
      <c r="E64" s="199" t="s">
        <v>562</v>
      </c>
      <c r="F64" s="355">
        <f>SUM(F62:F63)</f>
        <v>0</v>
      </c>
      <c r="G64" s="277"/>
      <c r="H64" s="277"/>
      <c r="I64" s="191"/>
    </row>
    <row r="66" spans="2:9" ht="33" customHeight="1">
      <c r="B66" s="726" t="s">
        <v>576</v>
      </c>
      <c r="C66" s="726"/>
      <c r="D66" s="726"/>
      <c r="E66" s="726"/>
      <c r="F66" s="726"/>
      <c r="G66" s="726"/>
      <c r="H66" s="726"/>
      <c r="I66" s="726"/>
    </row>
    <row r="68" spans="1:9" ht="31.5" customHeight="1">
      <c r="A68" s="670" t="s">
        <v>545</v>
      </c>
      <c r="B68" s="652" t="s">
        <v>577</v>
      </c>
      <c r="C68" s="652"/>
      <c r="D68" s="652"/>
      <c r="E68" s="676" t="s">
        <v>578</v>
      </c>
      <c r="F68" s="226" t="s">
        <v>579</v>
      </c>
      <c r="G68" s="352"/>
      <c r="H68" s="352"/>
      <c r="I68" s="233"/>
    </row>
    <row r="69" spans="1:9" ht="31.5" customHeight="1">
      <c r="A69" s="671"/>
      <c r="B69" s="652"/>
      <c r="C69" s="652"/>
      <c r="D69" s="652"/>
      <c r="E69" s="677"/>
      <c r="F69" s="268" t="s">
        <v>718</v>
      </c>
      <c r="G69" s="353"/>
      <c r="H69" s="352"/>
      <c r="I69" s="227"/>
    </row>
    <row r="70" spans="1:9" ht="17.25" customHeight="1">
      <c r="A70" s="234">
        <v>1</v>
      </c>
      <c r="B70" s="725">
        <v>2</v>
      </c>
      <c r="C70" s="725"/>
      <c r="D70" s="725"/>
      <c r="E70" s="199">
        <v>3</v>
      </c>
      <c r="F70" s="199">
        <v>4</v>
      </c>
      <c r="G70" s="236"/>
      <c r="H70" s="236"/>
      <c r="I70" s="236"/>
    </row>
    <row r="71" spans="1:9" s="187" customFormat="1" ht="32.25" customHeight="1">
      <c r="A71" s="237">
        <v>1</v>
      </c>
      <c r="B71" s="722" t="s">
        <v>581</v>
      </c>
      <c r="C71" s="723"/>
      <c r="D71" s="724"/>
      <c r="E71" s="231" t="s">
        <v>562</v>
      </c>
      <c r="F71" s="354"/>
      <c r="G71" s="277"/>
      <c r="H71" s="277"/>
      <c r="I71" s="191"/>
    </row>
    <row r="72" spans="1:9" ht="34.5" customHeight="1">
      <c r="A72" s="237" t="s">
        <v>582</v>
      </c>
      <c r="B72" s="722" t="s">
        <v>583</v>
      </c>
      <c r="C72" s="723"/>
      <c r="D72" s="724"/>
      <c r="E72" s="238">
        <f>L18</f>
        <v>4495864.74</v>
      </c>
      <c r="F72" s="238">
        <f>ROUND(E72*22%,2)-0.19</f>
        <v>989090.05</v>
      </c>
      <c r="G72" s="191"/>
      <c r="H72" s="191"/>
      <c r="I72" s="191"/>
    </row>
    <row r="73" spans="1:9" ht="16.5" customHeight="1">
      <c r="A73" s="237" t="s">
        <v>584</v>
      </c>
      <c r="B73" s="722" t="s">
        <v>585</v>
      </c>
      <c r="C73" s="723"/>
      <c r="D73" s="724"/>
      <c r="E73" s="239">
        <v>0</v>
      </c>
      <c r="F73" s="238">
        <f aca="true" t="shared" si="1" ref="F73:F80">E73*22%</f>
        <v>0</v>
      </c>
      <c r="G73" s="191"/>
      <c r="H73" s="191"/>
      <c r="I73" s="191"/>
    </row>
    <row r="74" spans="1:9" ht="34.5" customHeight="1">
      <c r="A74" s="237" t="s">
        <v>586</v>
      </c>
      <c r="B74" s="722" t="s">
        <v>587</v>
      </c>
      <c r="C74" s="723"/>
      <c r="D74" s="724"/>
      <c r="E74" s="239">
        <v>0</v>
      </c>
      <c r="F74" s="238">
        <f t="shared" si="1"/>
        <v>0</v>
      </c>
      <c r="G74" s="191"/>
      <c r="H74" s="191"/>
      <c r="I74" s="191"/>
    </row>
    <row r="75" spans="1:9" ht="33" customHeight="1">
      <c r="A75" s="237" t="s">
        <v>588</v>
      </c>
      <c r="B75" s="722" t="s">
        <v>589</v>
      </c>
      <c r="C75" s="723"/>
      <c r="D75" s="724"/>
      <c r="E75" s="239" t="s">
        <v>562</v>
      </c>
      <c r="F75" s="238">
        <v>0</v>
      </c>
      <c r="G75" s="191"/>
      <c r="H75" s="191"/>
      <c r="I75" s="191"/>
    </row>
    <row r="76" spans="1:9" ht="41.25" customHeight="1">
      <c r="A76" s="237" t="s">
        <v>590</v>
      </c>
      <c r="B76" s="719" t="s">
        <v>591</v>
      </c>
      <c r="C76" s="720"/>
      <c r="D76" s="721"/>
      <c r="E76" s="238">
        <f>E72</f>
        <v>4495864.74</v>
      </c>
      <c r="F76" s="238">
        <f>ROUND(E76*2.9%,2)</f>
        <v>130380.08</v>
      </c>
      <c r="G76" s="191"/>
      <c r="H76" s="191"/>
      <c r="I76" s="191"/>
    </row>
    <row r="77" spans="1:9" ht="34.5" customHeight="1">
      <c r="A77" s="237" t="s">
        <v>592</v>
      </c>
      <c r="B77" s="722" t="s">
        <v>593</v>
      </c>
      <c r="C77" s="723"/>
      <c r="D77" s="724"/>
      <c r="E77" s="239">
        <v>0</v>
      </c>
      <c r="F77" s="238">
        <f t="shared" si="1"/>
        <v>0</v>
      </c>
      <c r="G77" s="191"/>
      <c r="H77" s="191"/>
      <c r="I77" s="191"/>
    </row>
    <row r="78" spans="1:9" ht="33.75" customHeight="1">
      <c r="A78" s="237" t="s">
        <v>594</v>
      </c>
      <c r="B78" s="722" t="s">
        <v>595</v>
      </c>
      <c r="C78" s="723"/>
      <c r="D78" s="724"/>
      <c r="E78" s="238">
        <f>E76</f>
        <v>4495864.74</v>
      </c>
      <c r="F78" s="238">
        <f>ROUND(E78*0.2%,2)</f>
        <v>8991.73</v>
      </c>
      <c r="G78" s="191"/>
      <c r="H78" s="191"/>
      <c r="I78" s="191"/>
    </row>
    <row r="79" spans="1:9" ht="33.75" customHeight="1">
      <c r="A79" s="237" t="s">
        <v>596</v>
      </c>
      <c r="B79" s="722" t="s">
        <v>597</v>
      </c>
      <c r="C79" s="723"/>
      <c r="D79" s="724"/>
      <c r="E79" s="239">
        <v>0</v>
      </c>
      <c r="F79" s="238">
        <f t="shared" si="1"/>
        <v>0</v>
      </c>
      <c r="G79" s="191"/>
      <c r="H79" s="191"/>
      <c r="I79" s="191"/>
    </row>
    <row r="80" spans="1:9" ht="39.75" customHeight="1">
      <c r="A80" s="237" t="s">
        <v>598</v>
      </c>
      <c r="B80" s="722" t="s">
        <v>597</v>
      </c>
      <c r="C80" s="723"/>
      <c r="D80" s="724"/>
      <c r="E80" s="239">
        <v>0</v>
      </c>
      <c r="F80" s="238">
        <f t="shared" si="1"/>
        <v>0</v>
      </c>
      <c r="G80" s="191"/>
      <c r="H80" s="191"/>
      <c r="I80" s="191"/>
    </row>
    <row r="81" spans="1:9" ht="30" customHeight="1">
      <c r="A81" s="237" t="s">
        <v>599</v>
      </c>
      <c r="B81" s="722" t="s">
        <v>600</v>
      </c>
      <c r="C81" s="723"/>
      <c r="D81" s="724"/>
      <c r="E81" s="238">
        <f>E78</f>
        <v>4495864.74</v>
      </c>
      <c r="F81" s="238">
        <f>ROUND(E81*5.1%,2)</f>
        <v>229289.1</v>
      </c>
      <c r="G81" s="191"/>
      <c r="H81" s="191"/>
      <c r="I81" s="191"/>
    </row>
    <row r="82" spans="1:9" ht="30" customHeight="1">
      <c r="A82" s="237"/>
      <c r="B82" s="722" t="s">
        <v>581</v>
      </c>
      <c r="C82" s="723"/>
      <c r="D82" s="724"/>
      <c r="E82" s="231" t="s">
        <v>562</v>
      </c>
      <c r="F82" s="354">
        <f>SUM(F83)</f>
        <v>270225.98</v>
      </c>
      <c r="G82" s="191"/>
      <c r="H82" s="191"/>
      <c r="I82" s="191"/>
    </row>
    <row r="83" spans="1:9" ht="30" customHeight="1">
      <c r="A83" s="237"/>
      <c r="B83" s="722" t="s">
        <v>583</v>
      </c>
      <c r="C83" s="723"/>
      <c r="D83" s="724"/>
      <c r="E83" s="231">
        <v>1228299.91</v>
      </c>
      <c r="F83" s="354">
        <v>270225.98</v>
      </c>
      <c r="G83" s="191"/>
      <c r="H83" s="191"/>
      <c r="I83" s="191"/>
    </row>
    <row r="84" spans="1:9" ht="30" customHeight="1">
      <c r="A84" s="237"/>
      <c r="B84" s="722" t="s">
        <v>585</v>
      </c>
      <c r="C84" s="723"/>
      <c r="D84" s="724"/>
      <c r="E84" s="205"/>
      <c r="F84" s="354"/>
      <c r="G84" s="191"/>
      <c r="H84" s="191"/>
      <c r="I84" s="191"/>
    </row>
    <row r="85" spans="1:9" ht="30" customHeight="1">
      <c r="A85" s="237"/>
      <c r="B85" s="722" t="s">
        <v>587</v>
      </c>
      <c r="C85" s="723"/>
      <c r="D85" s="724"/>
      <c r="E85" s="205"/>
      <c r="F85" s="354"/>
      <c r="G85" s="191"/>
      <c r="H85" s="191"/>
      <c r="I85" s="191"/>
    </row>
    <row r="86" spans="1:9" ht="30" customHeight="1">
      <c r="A86" s="237"/>
      <c r="B86" s="722" t="s">
        <v>589</v>
      </c>
      <c r="C86" s="723"/>
      <c r="D86" s="724"/>
      <c r="E86" s="231" t="s">
        <v>562</v>
      </c>
      <c r="F86" s="354">
        <f>SUM(F87+F89)</f>
        <v>38077.409999999996</v>
      </c>
      <c r="G86" s="191"/>
      <c r="H86" s="191"/>
      <c r="I86" s="191"/>
    </row>
    <row r="87" spans="1:9" ht="30" customHeight="1">
      <c r="A87" s="237"/>
      <c r="B87" s="722" t="s">
        <v>591</v>
      </c>
      <c r="C87" s="723"/>
      <c r="D87" s="724"/>
      <c r="E87" s="231">
        <v>1228299.91</v>
      </c>
      <c r="F87" s="354">
        <v>35620.81</v>
      </c>
      <c r="G87" s="191"/>
      <c r="H87" s="191"/>
      <c r="I87" s="191"/>
    </row>
    <row r="88" spans="1:9" ht="30" customHeight="1">
      <c r="A88" s="237"/>
      <c r="B88" s="722" t="s">
        <v>593</v>
      </c>
      <c r="C88" s="723"/>
      <c r="D88" s="724"/>
      <c r="E88" s="205"/>
      <c r="F88" s="354"/>
      <c r="G88" s="191"/>
      <c r="H88" s="191"/>
      <c r="I88" s="191"/>
    </row>
    <row r="89" spans="1:9" ht="30" customHeight="1">
      <c r="A89" s="237"/>
      <c r="B89" s="722" t="s">
        <v>595</v>
      </c>
      <c r="C89" s="723"/>
      <c r="D89" s="724"/>
      <c r="E89" s="231">
        <v>1228299.91</v>
      </c>
      <c r="F89" s="354">
        <v>2456.6</v>
      </c>
      <c r="G89" s="191"/>
      <c r="H89" s="191"/>
      <c r="I89" s="191"/>
    </row>
    <row r="90" spans="1:9" ht="30" customHeight="1">
      <c r="A90" s="237"/>
      <c r="B90" s="722" t="s">
        <v>597</v>
      </c>
      <c r="C90" s="723"/>
      <c r="D90" s="724"/>
      <c r="E90" s="205"/>
      <c r="F90" s="354"/>
      <c r="G90" s="191"/>
      <c r="H90" s="191"/>
      <c r="I90" s="191"/>
    </row>
    <row r="91" spans="1:9" ht="30" customHeight="1">
      <c r="A91" s="237"/>
      <c r="B91" s="722" t="s">
        <v>597</v>
      </c>
      <c r="C91" s="723"/>
      <c r="D91" s="724"/>
      <c r="E91" s="205"/>
      <c r="F91" s="354"/>
      <c r="G91" s="191"/>
      <c r="H91" s="191"/>
      <c r="I91" s="191"/>
    </row>
    <row r="92" spans="1:9" ht="30" customHeight="1">
      <c r="A92" s="237"/>
      <c r="B92" s="722" t="s">
        <v>600</v>
      </c>
      <c r="C92" s="723"/>
      <c r="D92" s="724"/>
      <c r="E92" s="231">
        <v>1228299.91</v>
      </c>
      <c r="F92" s="354">
        <v>62643.3</v>
      </c>
      <c r="G92" s="191"/>
      <c r="H92" s="191"/>
      <c r="I92" s="191"/>
    </row>
    <row r="93" spans="1:9" ht="30" customHeight="1">
      <c r="A93" s="237"/>
      <c r="B93" s="557"/>
      <c r="C93" s="558"/>
      <c r="D93" s="559"/>
      <c r="E93" s="238"/>
      <c r="F93" s="238"/>
      <c r="G93" s="191"/>
      <c r="H93" s="191"/>
      <c r="I93" s="191"/>
    </row>
    <row r="94" spans="1:9" ht="30.75" customHeight="1">
      <c r="A94" s="712" t="s">
        <v>571</v>
      </c>
      <c r="B94" s="712"/>
      <c r="C94" s="712"/>
      <c r="D94" s="712"/>
      <c r="E94" s="239" t="s">
        <v>562</v>
      </c>
      <c r="F94" s="240">
        <f>SUM(F72:F81)+F82+F86+F92</f>
        <v>1728697.6500000001</v>
      </c>
      <c r="G94" s="356"/>
      <c r="H94" s="356"/>
      <c r="I94" s="191"/>
    </row>
    <row r="95" spans="2:6" ht="16.5" customHeight="1">
      <c r="B95" s="242"/>
      <c r="C95" s="242"/>
      <c r="D95" s="242"/>
      <c r="E95" s="236"/>
      <c r="F95" s="191"/>
    </row>
    <row r="96" spans="2:9" ht="34.5" customHeight="1" hidden="1">
      <c r="B96" s="726" t="s">
        <v>864</v>
      </c>
      <c r="C96" s="726"/>
      <c r="D96" s="726"/>
      <c r="E96" s="726"/>
      <c r="F96" s="726"/>
      <c r="G96" s="726"/>
      <c r="H96" s="726"/>
      <c r="I96" s="726"/>
    </row>
    <row r="97" ht="16.5" customHeight="1" hidden="1"/>
    <row r="98" spans="1:9" ht="16.5" customHeight="1" hidden="1">
      <c r="A98" s="670" t="s">
        <v>545</v>
      </c>
      <c r="B98" s="652" t="s">
        <v>577</v>
      </c>
      <c r="C98" s="652"/>
      <c r="D98" s="652"/>
      <c r="E98" s="676" t="s">
        <v>578</v>
      </c>
      <c r="F98" s="226" t="s">
        <v>579</v>
      </c>
      <c r="G98" s="352"/>
      <c r="H98" s="352"/>
      <c r="I98" s="233"/>
    </row>
    <row r="99" spans="1:9" ht="16.5" customHeight="1" hidden="1">
      <c r="A99" s="671"/>
      <c r="B99" s="652"/>
      <c r="C99" s="652"/>
      <c r="D99" s="652"/>
      <c r="E99" s="677"/>
      <c r="F99" s="268" t="s">
        <v>718</v>
      </c>
      <c r="G99" s="353"/>
      <c r="H99" s="352"/>
      <c r="I99" s="227"/>
    </row>
    <row r="100" spans="1:9" ht="16.5" customHeight="1" hidden="1">
      <c r="A100" s="234">
        <v>1</v>
      </c>
      <c r="B100" s="725">
        <v>2</v>
      </c>
      <c r="C100" s="725"/>
      <c r="D100" s="725"/>
      <c r="E100" s="199">
        <v>3</v>
      </c>
      <c r="F100" s="199">
        <v>4</v>
      </c>
      <c r="G100" s="236"/>
      <c r="H100" s="236"/>
      <c r="I100" s="236"/>
    </row>
    <row r="101" spans="1:9" s="187" customFormat="1" ht="19.5" customHeight="1" hidden="1">
      <c r="A101" s="237">
        <v>1</v>
      </c>
      <c r="B101" s="722" t="s">
        <v>581</v>
      </c>
      <c r="C101" s="723"/>
      <c r="D101" s="724"/>
      <c r="E101" s="231" t="s">
        <v>562</v>
      </c>
      <c r="F101" s="354"/>
      <c r="G101" s="277"/>
      <c r="H101" s="277"/>
      <c r="I101" s="191"/>
    </row>
    <row r="102" spans="1:9" ht="33" customHeight="1" hidden="1">
      <c r="A102" s="237" t="s">
        <v>582</v>
      </c>
      <c r="B102" s="722" t="s">
        <v>583</v>
      </c>
      <c r="C102" s="723"/>
      <c r="D102" s="724"/>
      <c r="E102" s="231">
        <v>1228299.91</v>
      </c>
      <c r="F102" s="354"/>
      <c r="G102" s="191"/>
      <c r="H102" s="191"/>
      <c r="I102" s="191"/>
    </row>
    <row r="103" spans="1:9" ht="15.75" hidden="1">
      <c r="A103" s="237" t="s">
        <v>584</v>
      </c>
      <c r="B103" s="722" t="s">
        <v>585</v>
      </c>
      <c r="C103" s="723"/>
      <c r="D103" s="724"/>
      <c r="E103" s="205"/>
      <c r="F103" s="354"/>
      <c r="G103" s="191"/>
      <c r="H103" s="191"/>
      <c r="I103" s="191"/>
    </row>
    <row r="104" spans="1:9" ht="39.75" customHeight="1" hidden="1">
      <c r="A104" s="237" t="s">
        <v>586</v>
      </c>
      <c r="B104" s="722" t="s">
        <v>587</v>
      </c>
      <c r="C104" s="723"/>
      <c r="D104" s="724"/>
      <c r="E104" s="205"/>
      <c r="F104" s="354"/>
      <c r="G104" s="191"/>
      <c r="H104" s="191"/>
      <c r="I104" s="191"/>
    </row>
    <row r="105" spans="1:9" ht="36" customHeight="1" hidden="1">
      <c r="A105" s="237" t="s">
        <v>588</v>
      </c>
      <c r="B105" s="722" t="s">
        <v>589</v>
      </c>
      <c r="C105" s="723"/>
      <c r="D105" s="724"/>
      <c r="E105" s="231" t="s">
        <v>562</v>
      </c>
      <c r="F105" s="354"/>
      <c r="G105" s="191"/>
      <c r="H105" s="191"/>
      <c r="I105" s="191"/>
    </row>
    <row r="106" spans="1:9" ht="45" customHeight="1" hidden="1">
      <c r="A106" s="237" t="s">
        <v>590</v>
      </c>
      <c r="B106" s="722" t="s">
        <v>591</v>
      </c>
      <c r="C106" s="723"/>
      <c r="D106" s="724"/>
      <c r="E106" s="231">
        <v>1228299.91</v>
      </c>
      <c r="F106" s="354"/>
      <c r="G106" s="191"/>
      <c r="H106" s="191"/>
      <c r="I106" s="191"/>
    </row>
    <row r="107" spans="1:9" ht="27" customHeight="1" hidden="1">
      <c r="A107" s="237" t="s">
        <v>592</v>
      </c>
      <c r="B107" s="722" t="s">
        <v>593</v>
      </c>
      <c r="C107" s="723"/>
      <c r="D107" s="724"/>
      <c r="E107" s="205"/>
      <c r="F107" s="354"/>
      <c r="G107" s="191"/>
      <c r="H107" s="191"/>
      <c r="I107" s="191"/>
    </row>
    <row r="108" spans="1:9" ht="25.5" customHeight="1" hidden="1">
      <c r="A108" s="237" t="s">
        <v>594</v>
      </c>
      <c r="B108" s="722" t="s">
        <v>595</v>
      </c>
      <c r="C108" s="723"/>
      <c r="D108" s="724"/>
      <c r="E108" s="231">
        <v>1228299.91</v>
      </c>
      <c r="F108" s="354"/>
      <c r="G108" s="191"/>
      <c r="H108" s="191"/>
      <c r="I108" s="191"/>
    </row>
    <row r="109" spans="1:9" ht="30.75" customHeight="1" hidden="1">
      <c r="A109" s="237" t="s">
        <v>596</v>
      </c>
      <c r="B109" s="722" t="s">
        <v>597</v>
      </c>
      <c r="C109" s="723"/>
      <c r="D109" s="724"/>
      <c r="E109" s="205"/>
      <c r="F109" s="354"/>
      <c r="G109" s="191"/>
      <c r="H109" s="191"/>
      <c r="I109" s="191"/>
    </row>
    <row r="110" spans="1:9" ht="33" customHeight="1" hidden="1">
      <c r="A110" s="237" t="s">
        <v>598</v>
      </c>
      <c r="B110" s="722" t="s">
        <v>597</v>
      </c>
      <c r="C110" s="723"/>
      <c r="D110" s="724"/>
      <c r="E110" s="205"/>
      <c r="F110" s="354"/>
      <c r="G110" s="191"/>
      <c r="H110" s="191"/>
      <c r="I110" s="191"/>
    </row>
    <row r="111" spans="1:9" ht="30.75" customHeight="1" hidden="1">
      <c r="A111" s="237" t="s">
        <v>599</v>
      </c>
      <c r="B111" s="722" t="s">
        <v>600</v>
      </c>
      <c r="C111" s="723"/>
      <c r="D111" s="724"/>
      <c r="E111" s="231">
        <v>1228299.91</v>
      </c>
      <c r="F111" s="354"/>
      <c r="G111" s="191"/>
      <c r="H111" s="191"/>
      <c r="I111" s="191"/>
    </row>
    <row r="112" spans="1:9" ht="16.5" customHeight="1" hidden="1">
      <c r="A112" s="712" t="s">
        <v>571</v>
      </c>
      <c r="B112" s="712"/>
      <c r="C112" s="712"/>
      <c r="D112" s="712"/>
      <c r="E112" s="199" t="s">
        <v>562</v>
      </c>
      <c r="F112" s="373">
        <f>F101+F105+F111</f>
        <v>0</v>
      </c>
      <c r="G112" s="356"/>
      <c r="H112" s="356"/>
      <c r="I112" s="191"/>
    </row>
    <row r="113" spans="2:6" ht="16.5" customHeight="1">
      <c r="B113" s="242"/>
      <c r="C113" s="242"/>
      <c r="D113" s="242"/>
      <c r="E113" s="236"/>
      <c r="F113" s="191"/>
    </row>
    <row r="114" spans="2:6" ht="16.5" customHeight="1">
      <c r="B114" s="242"/>
      <c r="C114" s="242"/>
      <c r="D114" s="242"/>
      <c r="E114" s="236"/>
      <c r="F114" s="191"/>
    </row>
    <row r="115" spans="1:11" ht="99" customHeight="1">
      <c r="A115" s="713" t="s">
        <v>601</v>
      </c>
      <c r="B115" s="713"/>
      <c r="C115" s="713"/>
      <c r="D115" s="713"/>
      <c r="E115" s="713"/>
      <c r="F115" s="713"/>
      <c r="G115" s="713"/>
      <c r="H115" s="713"/>
      <c r="I115" s="713"/>
      <c r="J115" s="713"/>
      <c r="K115" s="713"/>
    </row>
    <row r="116" spans="2:6" ht="21" customHeight="1">
      <c r="B116" s="714"/>
      <c r="C116" s="714"/>
      <c r="D116" s="714"/>
      <c r="E116" s="714"/>
      <c r="F116" s="714"/>
    </row>
    <row r="117" spans="1:11" s="244" customFormat="1" ht="27" customHeight="1">
      <c r="A117" s="703" t="s">
        <v>602</v>
      </c>
      <c r="B117" s="703"/>
      <c r="C117" s="703"/>
      <c r="D117" s="703"/>
      <c r="E117" s="703"/>
      <c r="F117" s="703"/>
      <c r="G117" s="703"/>
      <c r="H117" s="703"/>
      <c r="I117" s="703"/>
      <c r="J117" s="703"/>
      <c r="K117" s="703"/>
    </row>
    <row r="118" spans="1:11" s="244" customFormat="1" ht="16.5" customHeight="1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31" ht="15.75" customHeight="1">
      <c r="B119" s="185" t="s">
        <v>603</v>
      </c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2:31" ht="15.75" customHeight="1">
      <c r="B120" s="185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2:31" ht="15.75" customHeight="1">
      <c r="B121" s="185" t="s">
        <v>714</v>
      </c>
      <c r="D121" s="192" t="s">
        <v>715</v>
      </c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2:31" ht="15.75" customHeight="1">
      <c r="B122" s="185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9" s="244" customFormat="1" ht="33.75" customHeight="1">
      <c r="A123" s="670" t="s">
        <v>545</v>
      </c>
      <c r="B123" s="715" t="s">
        <v>1</v>
      </c>
      <c r="C123" s="715"/>
      <c r="D123" s="715"/>
      <c r="E123" s="715" t="s">
        <v>605</v>
      </c>
      <c r="F123" s="715" t="s">
        <v>606</v>
      </c>
      <c r="G123" s="226" t="s">
        <v>579</v>
      </c>
      <c r="H123" s="352"/>
      <c r="I123" s="352"/>
    </row>
    <row r="124" spans="1:49" s="244" customFormat="1" ht="51" customHeight="1">
      <c r="A124" s="671"/>
      <c r="B124" s="715"/>
      <c r="C124" s="715"/>
      <c r="D124" s="715"/>
      <c r="E124" s="715"/>
      <c r="F124" s="715"/>
      <c r="G124" s="226" t="s">
        <v>719</v>
      </c>
      <c r="H124" s="352"/>
      <c r="I124" s="352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</row>
    <row r="125" spans="1:49" s="244" customFormat="1" ht="15.75">
      <c r="A125" s="247">
        <v>1</v>
      </c>
      <c r="B125" s="707">
        <v>2</v>
      </c>
      <c r="C125" s="707"/>
      <c r="D125" s="707"/>
      <c r="E125" s="247">
        <v>3</v>
      </c>
      <c r="F125" s="248">
        <v>4</v>
      </c>
      <c r="G125" s="249">
        <v>4</v>
      </c>
      <c r="H125" s="357"/>
      <c r="I125" s="357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</row>
    <row r="126" spans="1:49" s="244" customFormat="1" ht="32.25" customHeight="1">
      <c r="A126" s="251" t="s">
        <v>608</v>
      </c>
      <c r="B126" s="708"/>
      <c r="C126" s="708"/>
      <c r="D126" s="708"/>
      <c r="E126" s="252"/>
      <c r="F126" s="253"/>
      <c r="G126" s="354"/>
      <c r="H126" s="277"/>
      <c r="I126" s="277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</row>
    <row r="127" spans="1:49" s="244" customFormat="1" ht="30.75" customHeight="1">
      <c r="A127" s="251" t="s">
        <v>588</v>
      </c>
      <c r="B127" s="708"/>
      <c r="C127" s="708"/>
      <c r="D127" s="708"/>
      <c r="E127" s="252"/>
      <c r="F127" s="253"/>
      <c r="G127" s="354"/>
      <c r="H127" s="277"/>
      <c r="I127" s="277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</row>
    <row r="128" spans="1:49" s="244" customFormat="1" ht="15.75">
      <c r="A128" s="690" t="s">
        <v>561</v>
      </c>
      <c r="B128" s="753"/>
      <c r="C128" s="753"/>
      <c r="D128" s="691"/>
      <c r="E128" s="252" t="s">
        <v>562</v>
      </c>
      <c r="F128" s="254" t="s">
        <v>562</v>
      </c>
      <c r="G128" s="264">
        <f>SUM(G126:G127)</f>
        <v>0</v>
      </c>
      <c r="H128" s="277"/>
      <c r="I128" s="277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</row>
    <row r="129" spans="6:49" s="244" customFormat="1" ht="15.75"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</row>
    <row r="130" spans="1:49" s="244" customFormat="1" ht="69" customHeight="1">
      <c r="A130" s="669" t="s">
        <v>609</v>
      </c>
      <c r="B130" s="669"/>
      <c r="C130" s="669"/>
      <c r="D130" s="669"/>
      <c r="E130" s="669"/>
      <c r="F130" s="669"/>
      <c r="G130" s="669"/>
      <c r="H130" s="669"/>
      <c r="I130" s="669"/>
      <c r="J130" s="669"/>
      <c r="K130" s="669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</row>
    <row r="131" s="244" customFormat="1" ht="15.75"/>
    <row r="132" spans="1:11" ht="15.75" customHeight="1">
      <c r="A132" s="703" t="s">
        <v>610</v>
      </c>
      <c r="B132" s="703"/>
      <c r="C132" s="703"/>
      <c r="D132" s="703"/>
      <c r="E132" s="703"/>
      <c r="F132" s="703"/>
      <c r="G132" s="703"/>
      <c r="H132" s="703"/>
      <c r="I132" s="703"/>
      <c r="J132" s="703"/>
      <c r="K132" s="703"/>
    </row>
    <row r="133" spans="1:11" ht="15.75" customHeight="1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</row>
    <row r="134" spans="2:31" ht="15.75" customHeight="1">
      <c r="B134" s="185" t="s">
        <v>720</v>
      </c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pans="2:31" ht="15.75" customHeight="1">
      <c r="B135" s="185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</row>
    <row r="136" spans="2:31" ht="15.75" customHeight="1">
      <c r="B136" s="185" t="s">
        <v>714</v>
      </c>
      <c r="D136" s="192" t="s">
        <v>715</v>
      </c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</row>
    <row r="137" spans="1:4" ht="15.75" customHeight="1">
      <c r="A137" s="193"/>
      <c r="B137" s="193"/>
      <c r="C137" s="193"/>
      <c r="D137" s="193"/>
    </row>
    <row r="138" spans="1:8" ht="33.75" customHeight="1">
      <c r="A138" s="670" t="s">
        <v>545</v>
      </c>
      <c r="B138" s="652" t="s">
        <v>612</v>
      </c>
      <c r="C138" s="652"/>
      <c r="D138" s="676" t="s">
        <v>613</v>
      </c>
      <c r="E138" s="676" t="s">
        <v>614</v>
      </c>
      <c r="F138" s="766" t="s">
        <v>579</v>
      </c>
      <c r="G138" s="767"/>
      <c r="H138" s="358"/>
    </row>
    <row r="139" spans="1:8" ht="69" customHeight="1">
      <c r="A139" s="671"/>
      <c r="B139" s="652"/>
      <c r="C139" s="652"/>
      <c r="D139" s="677"/>
      <c r="E139" s="677"/>
      <c r="F139" s="226" t="s">
        <v>721</v>
      </c>
      <c r="G139" s="226" t="s">
        <v>722</v>
      </c>
      <c r="H139" s="352"/>
    </row>
    <row r="140" spans="1:8" ht="15.75">
      <c r="A140" s="258">
        <v>1</v>
      </c>
      <c r="B140" s="699">
        <v>2</v>
      </c>
      <c r="C140" s="699"/>
      <c r="D140" s="258">
        <v>3</v>
      </c>
      <c r="E140" s="258">
        <v>4</v>
      </c>
      <c r="F140" s="258">
        <v>5</v>
      </c>
      <c r="G140" s="258">
        <v>6</v>
      </c>
      <c r="H140" s="359"/>
    </row>
    <row r="141" spans="1:8" ht="15.75">
      <c r="A141" s="199">
        <v>1</v>
      </c>
      <c r="B141" s="700" t="s">
        <v>616</v>
      </c>
      <c r="C141" s="700"/>
      <c r="D141" s="260">
        <v>195145.33</v>
      </c>
      <c r="E141" s="260">
        <v>1.5</v>
      </c>
      <c r="F141" s="231"/>
      <c r="G141" s="360">
        <f>ROUND(D141*E141,0.2)</f>
        <v>292718</v>
      </c>
      <c r="H141" s="361"/>
    </row>
    <row r="142" spans="1:8" ht="15.75">
      <c r="A142" s="199">
        <v>2</v>
      </c>
      <c r="B142" s="700" t="s">
        <v>617</v>
      </c>
      <c r="C142" s="700"/>
      <c r="D142" s="262"/>
      <c r="E142" s="262"/>
      <c r="F142" s="354"/>
      <c r="G142" s="354"/>
      <c r="H142" s="277"/>
    </row>
    <row r="143" spans="1:8" ht="33.75" customHeight="1">
      <c r="A143" s="199">
        <v>3</v>
      </c>
      <c r="B143" s="701" t="s">
        <v>618</v>
      </c>
      <c r="C143" s="701"/>
      <c r="D143" s="205"/>
      <c r="E143" s="205"/>
      <c r="F143" s="355"/>
      <c r="G143" s="354"/>
      <c r="H143" s="277"/>
    </row>
    <row r="144" spans="1:8" ht="15.75">
      <c r="A144" s="199">
        <v>4</v>
      </c>
      <c r="B144" s="700" t="s">
        <v>723</v>
      </c>
      <c r="C144" s="700"/>
      <c r="D144" s="205"/>
      <c r="E144" s="263"/>
      <c r="F144" s="355"/>
      <c r="G144" s="354">
        <v>3000</v>
      </c>
      <c r="H144" s="277"/>
    </row>
    <row r="145" spans="1:8" ht="15.75">
      <c r="A145" s="199">
        <v>5</v>
      </c>
      <c r="B145" s="768" t="s">
        <v>724</v>
      </c>
      <c r="C145" s="769"/>
      <c r="D145" s="205"/>
      <c r="E145" s="263"/>
      <c r="F145" s="355"/>
      <c r="G145" s="354">
        <f>20000+9000</f>
        <v>29000</v>
      </c>
      <c r="H145" s="277"/>
    </row>
    <row r="146" spans="1:8" ht="15.75">
      <c r="A146" s="199">
        <v>6</v>
      </c>
      <c r="B146" s="758" t="s">
        <v>616</v>
      </c>
      <c r="C146" s="758"/>
      <c r="D146" s="553">
        <v>79280149.9</v>
      </c>
      <c r="E146" s="553">
        <v>1.5</v>
      </c>
      <c r="F146" s="362">
        <v>0</v>
      </c>
      <c r="G146" s="362">
        <v>107028</v>
      </c>
      <c r="H146" s="277"/>
    </row>
    <row r="147" spans="1:8" ht="15.75">
      <c r="A147" s="234">
        <v>7</v>
      </c>
      <c r="B147" s="758" t="s">
        <v>617</v>
      </c>
      <c r="C147" s="758"/>
      <c r="D147" s="553" t="s">
        <v>754</v>
      </c>
      <c r="E147" s="553" t="s">
        <v>754</v>
      </c>
      <c r="F147" s="362">
        <v>0</v>
      </c>
      <c r="G147" s="362">
        <v>0</v>
      </c>
      <c r="H147" s="277"/>
    </row>
    <row r="148" spans="1:8" ht="15.75">
      <c r="A148" s="234">
        <v>8</v>
      </c>
      <c r="B148" s="759" t="s">
        <v>931</v>
      </c>
      <c r="C148" s="759"/>
      <c r="D148" s="405" t="s">
        <v>754</v>
      </c>
      <c r="E148" s="405" t="s">
        <v>754</v>
      </c>
      <c r="F148" s="362">
        <v>0</v>
      </c>
      <c r="G148" s="362">
        <v>30000</v>
      </c>
      <c r="H148" s="277"/>
    </row>
    <row r="149" spans="1:8" ht="15.75">
      <c r="A149" s="234"/>
      <c r="B149" s="552"/>
      <c r="C149" s="548"/>
      <c r="D149" s="205"/>
      <c r="E149" s="263"/>
      <c r="F149" s="355"/>
      <c r="G149" s="354"/>
      <c r="H149" s="277"/>
    </row>
    <row r="150" spans="1:8" ht="15.75">
      <c r="A150" s="683" t="s">
        <v>561</v>
      </c>
      <c r="B150" s="702"/>
      <c r="C150" s="684"/>
      <c r="D150" s="274"/>
      <c r="E150" s="265" t="s">
        <v>562</v>
      </c>
      <c r="F150" s="355"/>
      <c r="G150" s="362">
        <f>SUM(G141:G148)</f>
        <v>461746</v>
      </c>
      <c r="H150" s="277"/>
    </row>
    <row r="151" spans="1:7" ht="15.75">
      <c r="A151" s="191"/>
      <c r="B151" s="191"/>
      <c r="C151" s="191"/>
      <c r="D151" s="191"/>
      <c r="E151" s="191"/>
      <c r="F151" s="191"/>
      <c r="G151" s="191"/>
    </row>
    <row r="152" spans="1:11" ht="15.75" hidden="1">
      <c r="A152" s="703" t="s">
        <v>865</v>
      </c>
      <c r="B152" s="703"/>
      <c r="C152" s="703"/>
      <c r="D152" s="703"/>
      <c r="E152" s="703"/>
      <c r="F152" s="703"/>
      <c r="G152" s="703"/>
      <c r="H152" s="703"/>
      <c r="I152" s="703"/>
      <c r="J152" s="703"/>
      <c r="K152" s="703"/>
    </row>
    <row r="153" spans="1:11" ht="15.75" hidden="1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</row>
    <row r="154" spans="2:29" ht="15.75" hidden="1">
      <c r="B154" s="185" t="s">
        <v>720</v>
      </c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</row>
    <row r="155" spans="2:29" ht="15.75" hidden="1">
      <c r="B155" s="185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</row>
    <row r="156" spans="2:29" ht="15.75" hidden="1">
      <c r="B156" s="185" t="s">
        <v>714</v>
      </c>
      <c r="D156" s="192" t="s">
        <v>715</v>
      </c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</row>
    <row r="157" spans="1:4" ht="15.75" hidden="1">
      <c r="A157" s="193"/>
      <c r="B157" s="193"/>
      <c r="C157" s="193"/>
      <c r="D157" s="193"/>
    </row>
    <row r="158" spans="1:8" ht="15.75" hidden="1">
      <c r="A158" s="670" t="s">
        <v>545</v>
      </c>
      <c r="B158" s="652" t="s">
        <v>612</v>
      </c>
      <c r="C158" s="652"/>
      <c r="D158" s="676" t="s">
        <v>613</v>
      </c>
      <c r="E158" s="676" t="s">
        <v>614</v>
      </c>
      <c r="F158" s="766" t="s">
        <v>579</v>
      </c>
      <c r="G158" s="767"/>
      <c r="H158" s="358"/>
    </row>
    <row r="159" spans="1:8" ht="78.75" hidden="1">
      <c r="A159" s="671"/>
      <c r="B159" s="652"/>
      <c r="C159" s="652"/>
      <c r="D159" s="677"/>
      <c r="E159" s="677"/>
      <c r="F159" s="226" t="s">
        <v>721</v>
      </c>
      <c r="G159" s="226" t="s">
        <v>722</v>
      </c>
      <c r="H159" s="352"/>
    </row>
    <row r="160" spans="1:8" ht="15.75" hidden="1">
      <c r="A160" s="258">
        <v>1</v>
      </c>
      <c r="B160" s="699">
        <v>2</v>
      </c>
      <c r="C160" s="699"/>
      <c r="D160" s="258">
        <v>3</v>
      </c>
      <c r="E160" s="258">
        <v>4</v>
      </c>
      <c r="F160" s="258">
        <v>5</v>
      </c>
      <c r="G160" s="258">
        <v>6</v>
      </c>
      <c r="H160" s="359"/>
    </row>
    <row r="161" spans="1:8" ht="15.75" hidden="1">
      <c r="A161" s="199">
        <v>1</v>
      </c>
      <c r="B161" s="700" t="s">
        <v>616</v>
      </c>
      <c r="C161" s="700"/>
      <c r="D161" s="262">
        <v>79280149.9</v>
      </c>
      <c r="E161" s="262">
        <v>1.5</v>
      </c>
      <c r="F161" s="354">
        <v>0</v>
      </c>
      <c r="G161" s="354"/>
      <c r="H161" s="277"/>
    </row>
    <row r="162" spans="1:8" ht="15.75" hidden="1">
      <c r="A162" s="199">
        <v>2</v>
      </c>
      <c r="B162" s="700" t="s">
        <v>617</v>
      </c>
      <c r="C162" s="700"/>
      <c r="D162" s="262" t="s">
        <v>754</v>
      </c>
      <c r="E162" s="262" t="s">
        <v>754</v>
      </c>
      <c r="F162" s="354">
        <v>0</v>
      </c>
      <c r="G162" s="354"/>
      <c r="H162" s="277"/>
    </row>
    <row r="163" spans="1:8" ht="15.75" hidden="1">
      <c r="A163" s="199">
        <v>3</v>
      </c>
      <c r="B163" s="765" t="s">
        <v>931</v>
      </c>
      <c r="C163" s="765"/>
      <c r="D163" s="231" t="s">
        <v>754</v>
      </c>
      <c r="E163" s="231" t="s">
        <v>754</v>
      </c>
      <c r="F163" s="354">
        <v>0</v>
      </c>
      <c r="G163" s="354"/>
      <c r="H163" s="277"/>
    </row>
    <row r="164" spans="1:8" ht="15.75" hidden="1">
      <c r="A164" s="683" t="s">
        <v>561</v>
      </c>
      <c r="B164" s="702"/>
      <c r="C164" s="684"/>
      <c r="D164" s="274"/>
      <c r="E164" s="265" t="s">
        <v>562</v>
      </c>
      <c r="F164" s="355"/>
      <c r="G164" s="362">
        <f>SUM(G161:G163)</f>
        <v>0</v>
      </c>
      <c r="H164" s="277"/>
    </row>
    <row r="165" spans="1:7" ht="15.75">
      <c r="A165" s="191"/>
      <c r="B165" s="191"/>
      <c r="C165" s="191"/>
      <c r="D165" s="191"/>
      <c r="E165" s="191"/>
      <c r="F165" s="191"/>
      <c r="G165" s="191"/>
    </row>
    <row r="166" spans="1:11" ht="49.5" customHeight="1">
      <c r="A166" s="682" t="s">
        <v>619</v>
      </c>
      <c r="B166" s="682"/>
      <c r="C166" s="682"/>
      <c r="D166" s="682"/>
      <c r="E166" s="682"/>
      <c r="F166" s="682"/>
      <c r="G166" s="682"/>
      <c r="H166" s="682"/>
      <c r="I166" s="682"/>
      <c r="J166" s="682"/>
      <c r="K166" s="682"/>
    </row>
    <row r="167" spans="1:7" ht="15.75">
      <c r="A167" s="191"/>
      <c r="B167" s="191"/>
      <c r="C167" s="191"/>
      <c r="D167" s="191"/>
      <c r="E167" s="191"/>
      <c r="F167" s="191"/>
      <c r="G167" s="191"/>
    </row>
    <row r="168" spans="1:11" ht="15.75">
      <c r="A168" s="695" t="s">
        <v>620</v>
      </c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</row>
    <row r="169" spans="1:7" ht="17.25" customHeight="1">
      <c r="A169" s="698" t="s">
        <v>621</v>
      </c>
      <c r="B169" s="698"/>
      <c r="C169" s="698"/>
      <c r="D169" s="698"/>
      <c r="E169" s="698"/>
      <c r="F169" s="191"/>
      <c r="G169" s="191"/>
    </row>
    <row r="170" spans="2:31" ht="15.75" customHeight="1">
      <c r="B170" s="185" t="s">
        <v>713</v>
      </c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</row>
    <row r="171" spans="2:31" ht="15.75" customHeight="1">
      <c r="B171" s="185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</row>
    <row r="172" spans="2:31" ht="15.75" customHeight="1">
      <c r="B172" s="185" t="s">
        <v>714</v>
      </c>
      <c r="D172" s="185" t="s">
        <v>715</v>
      </c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</row>
    <row r="173" spans="1:7" ht="17.25" customHeight="1">
      <c r="A173" s="267"/>
      <c r="B173" s="267"/>
      <c r="C173" s="267"/>
      <c r="D173" s="267"/>
      <c r="E173" s="267"/>
      <c r="F173" s="191"/>
      <c r="G173" s="191"/>
    </row>
    <row r="174" spans="1:8" ht="60.75" customHeight="1">
      <c r="A174" s="670" t="s">
        <v>545</v>
      </c>
      <c r="B174" s="685" t="s">
        <v>1</v>
      </c>
      <c r="C174" s="685" t="s">
        <v>605</v>
      </c>
      <c r="D174" s="685" t="s">
        <v>606</v>
      </c>
      <c r="E174" s="235" t="s">
        <v>725</v>
      </c>
      <c r="F174" s="236"/>
      <c r="G174" s="236"/>
      <c r="H174" s="256"/>
    </row>
    <row r="175" spans="1:50" ht="46.5" customHeight="1">
      <c r="A175" s="671"/>
      <c r="B175" s="685"/>
      <c r="C175" s="685"/>
      <c r="D175" s="685"/>
      <c r="E175" s="269" t="s">
        <v>726</v>
      </c>
      <c r="F175" s="363"/>
      <c r="G175" s="363"/>
      <c r="H175" s="271"/>
      <c r="I175" s="272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191"/>
    </row>
    <row r="176" spans="1:50" ht="14.25" customHeight="1">
      <c r="A176" s="228">
        <v>1</v>
      </c>
      <c r="B176" s="273">
        <v>2</v>
      </c>
      <c r="C176" s="273">
        <v>3</v>
      </c>
      <c r="D176" s="273">
        <v>4</v>
      </c>
      <c r="E176" s="273">
        <v>5</v>
      </c>
      <c r="F176" s="230"/>
      <c r="G176" s="230"/>
      <c r="H176" s="230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191"/>
    </row>
    <row r="177" spans="1:50" ht="15.75">
      <c r="A177" s="199"/>
      <c r="B177" s="269"/>
      <c r="C177" s="274"/>
      <c r="D177" s="274"/>
      <c r="E177" s="264"/>
      <c r="F177" s="275"/>
      <c r="G177" s="275"/>
      <c r="H177" s="275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191"/>
    </row>
    <row r="178" spans="1:50" ht="15.75">
      <c r="A178" s="199"/>
      <c r="B178" s="269"/>
      <c r="C178" s="274"/>
      <c r="D178" s="274"/>
      <c r="E178" s="264"/>
      <c r="F178" s="275"/>
      <c r="G178" s="275"/>
      <c r="H178" s="275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191"/>
    </row>
    <row r="179" spans="1:50" ht="15.75">
      <c r="A179" s="683" t="s">
        <v>561</v>
      </c>
      <c r="B179" s="684"/>
      <c r="C179" s="274" t="s">
        <v>562</v>
      </c>
      <c r="D179" s="274" t="s">
        <v>562</v>
      </c>
      <c r="E179" s="264">
        <f>SUM(E177:E178)</f>
        <v>0</v>
      </c>
      <c r="F179" s="275"/>
      <c r="G179" s="275"/>
      <c r="H179" s="275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191"/>
    </row>
    <row r="180" spans="1:50" ht="15.75">
      <c r="A180" s="276"/>
      <c r="B180" s="276"/>
      <c r="C180" s="275"/>
      <c r="D180" s="275"/>
      <c r="E180" s="275"/>
      <c r="F180" s="275"/>
      <c r="G180" s="275"/>
      <c r="H180" s="275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191"/>
    </row>
    <row r="181" spans="1:50" ht="36" customHeight="1">
      <c r="A181" s="696" t="s">
        <v>623</v>
      </c>
      <c r="B181" s="696"/>
      <c r="C181" s="696"/>
      <c r="D181" s="696"/>
      <c r="E181" s="696"/>
      <c r="F181" s="696"/>
      <c r="G181" s="696"/>
      <c r="H181" s="696"/>
      <c r="I181" s="696"/>
      <c r="J181" s="696"/>
      <c r="K181" s="696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191"/>
    </row>
    <row r="182" spans="2:11" ht="15.75">
      <c r="B182" s="185"/>
      <c r="I182" s="191"/>
      <c r="J182" s="277"/>
      <c r="K182" s="277"/>
    </row>
    <row r="183" spans="1:12" ht="15.75" customHeight="1">
      <c r="A183" s="697" t="s">
        <v>624</v>
      </c>
      <c r="B183" s="697"/>
      <c r="C183" s="697"/>
      <c r="D183" s="697"/>
      <c r="E183" s="697"/>
      <c r="F183" s="697"/>
      <c r="G183" s="697"/>
      <c r="H183" s="697"/>
      <c r="I183" s="697"/>
      <c r="J183" s="697"/>
      <c r="K183" s="697"/>
      <c r="L183" s="279"/>
    </row>
    <row r="184" spans="1:12" ht="15.75" customHeight="1">
      <c r="A184" s="278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9"/>
    </row>
    <row r="185" spans="2:31" ht="15.75" customHeight="1">
      <c r="B185" s="185" t="s">
        <v>713</v>
      </c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</row>
    <row r="186" spans="2:31" ht="15.75" customHeight="1">
      <c r="B186" s="185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</row>
    <row r="187" spans="2:31" ht="15.75" customHeight="1">
      <c r="B187" s="185" t="s">
        <v>714</v>
      </c>
      <c r="D187" s="185" t="s">
        <v>715</v>
      </c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</row>
    <row r="188" spans="1:12" ht="15.75" customHeight="1">
      <c r="A188" s="223"/>
      <c r="B188" s="223"/>
      <c r="C188" s="223"/>
      <c r="D188" s="223"/>
      <c r="E188" s="223"/>
      <c r="F188" s="223"/>
      <c r="G188" s="279"/>
      <c r="H188" s="279"/>
      <c r="I188" s="279"/>
      <c r="J188" s="279"/>
      <c r="K188" s="279"/>
      <c r="L188" s="279"/>
    </row>
    <row r="189" spans="1:8" ht="57.75" customHeight="1">
      <c r="A189" s="670" t="s">
        <v>545</v>
      </c>
      <c r="B189" s="685" t="s">
        <v>1</v>
      </c>
      <c r="C189" s="685" t="s">
        <v>605</v>
      </c>
      <c r="D189" s="685" t="s">
        <v>606</v>
      </c>
      <c r="E189" s="235" t="s">
        <v>727</v>
      </c>
      <c r="F189" s="236"/>
      <c r="G189" s="236"/>
      <c r="H189" s="256"/>
    </row>
    <row r="190" spans="1:50" ht="44.25" customHeight="1">
      <c r="A190" s="671"/>
      <c r="B190" s="685"/>
      <c r="C190" s="685"/>
      <c r="D190" s="685"/>
      <c r="E190" s="269" t="s">
        <v>728</v>
      </c>
      <c r="F190" s="363"/>
      <c r="G190" s="363"/>
      <c r="H190" s="271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191"/>
    </row>
    <row r="191" spans="1:50" ht="12" customHeight="1">
      <c r="A191" s="280">
        <v>1</v>
      </c>
      <c r="B191" s="281">
        <v>2</v>
      </c>
      <c r="C191" s="281">
        <v>3</v>
      </c>
      <c r="D191" s="281">
        <v>4</v>
      </c>
      <c r="E191" s="273">
        <v>5</v>
      </c>
      <c r="F191" s="230"/>
      <c r="G191" s="230"/>
      <c r="H191" s="230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191"/>
    </row>
    <row r="192" spans="1:50" ht="15.75">
      <c r="A192" s="199"/>
      <c r="B192" s="195"/>
      <c r="C192" s="201"/>
      <c r="D192" s="201"/>
      <c r="E192" s="264"/>
      <c r="F192" s="275"/>
      <c r="G192" s="364"/>
      <c r="H192" s="275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191"/>
    </row>
    <row r="193" spans="1:50" ht="15.75">
      <c r="A193" s="199"/>
      <c r="B193" s="195"/>
      <c r="C193" s="201"/>
      <c r="D193" s="201"/>
      <c r="E193" s="264"/>
      <c r="F193" s="275"/>
      <c r="G193" s="364"/>
      <c r="H193" s="275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191"/>
    </row>
    <row r="194" spans="1:50" ht="15.75">
      <c r="A194" s="683" t="s">
        <v>561</v>
      </c>
      <c r="B194" s="684"/>
      <c r="C194" s="201" t="s">
        <v>562</v>
      </c>
      <c r="D194" s="201" t="s">
        <v>562</v>
      </c>
      <c r="E194" s="264">
        <f>SUM(E192:E193)</f>
        <v>0</v>
      </c>
      <c r="F194" s="275"/>
      <c r="G194" s="364"/>
      <c r="H194" s="275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191"/>
    </row>
    <row r="195" spans="1:50" ht="15.75">
      <c r="A195" s="236"/>
      <c r="B195" s="191"/>
      <c r="C195" s="236"/>
      <c r="D195" s="236"/>
      <c r="E195" s="236"/>
      <c r="F195" s="236"/>
      <c r="G195" s="191"/>
      <c r="H195" s="277"/>
      <c r="I195" s="277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</row>
    <row r="196" spans="1:50" ht="39" customHeight="1">
      <c r="A196" s="682" t="s">
        <v>625</v>
      </c>
      <c r="B196" s="682"/>
      <c r="C196" s="682"/>
      <c r="D196" s="682"/>
      <c r="E196" s="682"/>
      <c r="F196" s="682"/>
      <c r="G196" s="682"/>
      <c r="H196" s="682"/>
      <c r="I196" s="682"/>
      <c r="J196" s="682"/>
      <c r="K196" s="682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</row>
    <row r="197" spans="1:50" ht="15.75">
      <c r="A197" s="236"/>
      <c r="B197" s="191"/>
      <c r="C197" s="236"/>
      <c r="D197" s="236"/>
      <c r="E197" s="236"/>
      <c r="F197" s="236"/>
      <c r="G197" s="191"/>
      <c r="H197" s="277"/>
      <c r="I197" s="277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1"/>
      <c r="AX197" s="191"/>
    </row>
    <row r="198" spans="1:11" ht="15.75">
      <c r="A198" s="695" t="s">
        <v>626</v>
      </c>
      <c r="B198" s="695"/>
      <c r="C198" s="695"/>
      <c r="D198" s="695"/>
      <c r="E198" s="695"/>
      <c r="F198" s="695"/>
      <c r="G198" s="695"/>
      <c r="H198" s="695"/>
      <c r="I198" s="695"/>
      <c r="J198" s="695"/>
      <c r="K198" s="695"/>
    </row>
    <row r="199" spans="1:10" ht="15.75">
      <c r="A199" s="236"/>
      <c r="B199" s="191"/>
      <c r="C199" s="236"/>
      <c r="D199" s="236"/>
      <c r="E199" s="236"/>
      <c r="F199" s="236"/>
      <c r="G199" s="191"/>
      <c r="H199" s="277"/>
      <c r="I199" s="277"/>
      <c r="J199" s="191"/>
    </row>
    <row r="200" spans="2:31" ht="15.75" customHeight="1">
      <c r="B200" s="185" t="s">
        <v>627</v>
      </c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</row>
    <row r="201" spans="2:31" ht="15.75" customHeight="1">
      <c r="B201" s="185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</row>
    <row r="202" spans="2:31" ht="15.75" customHeight="1">
      <c r="B202" s="185" t="s">
        <v>714</v>
      </c>
      <c r="D202" s="192" t="s">
        <v>715</v>
      </c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</row>
    <row r="203" spans="1:10" ht="15.75">
      <c r="A203" s="236"/>
      <c r="B203" s="191"/>
      <c r="C203" s="236"/>
      <c r="D203" s="236"/>
      <c r="E203" s="236"/>
      <c r="F203" s="236"/>
      <c r="G203" s="191"/>
      <c r="H203" s="277"/>
      <c r="I203" s="277"/>
      <c r="J203" s="191"/>
    </row>
    <row r="204" spans="1:10" ht="15.75">
      <c r="A204" s="236"/>
      <c r="B204" s="222" t="s">
        <v>628</v>
      </c>
      <c r="C204" s="236"/>
      <c r="D204" s="236"/>
      <c r="E204" s="236"/>
      <c r="F204" s="236"/>
      <c r="G204" s="191"/>
      <c r="H204" s="277"/>
      <c r="I204" s="277"/>
      <c r="J204" s="191"/>
    </row>
    <row r="205" spans="1:10" ht="15.75">
      <c r="A205" s="282"/>
      <c r="B205" s="282"/>
      <c r="C205" s="282"/>
      <c r="D205" s="282"/>
      <c r="E205" s="236"/>
      <c r="F205" s="236"/>
      <c r="G205" s="191"/>
      <c r="H205" s="277"/>
      <c r="I205" s="277"/>
      <c r="J205" s="191"/>
    </row>
    <row r="206" spans="1:36" ht="41.25" customHeight="1">
      <c r="A206" s="670" t="s">
        <v>545</v>
      </c>
      <c r="B206" s="685" t="s">
        <v>566</v>
      </c>
      <c r="C206" s="685" t="s">
        <v>629</v>
      </c>
      <c r="D206" s="685" t="s">
        <v>630</v>
      </c>
      <c r="E206" s="685" t="s">
        <v>631</v>
      </c>
      <c r="F206" s="235" t="s">
        <v>729</v>
      </c>
      <c r="G206" s="236"/>
      <c r="H206" s="236"/>
      <c r="I206" s="256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</row>
    <row r="207" spans="1:36" ht="49.5" customHeight="1">
      <c r="A207" s="671"/>
      <c r="B207" s="685"/>
      <c r="C207" s="685"/>
      <c r="D207" s="685"/>
      <c r="E207" s="685"/>
      <c r="F207" s="245" t="s">
        <v>730</v>
      </c>
      <c r="G207" s="352"/>
      <c r="H207" s="352"/>
      <c r="I207" s="271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191"/>
    </row>
    <row r="208" spans="1:36" ht="15.75">
      <c r="A208" s="200">
        <v>1</v>
      </c>
      <c r="B208" s="200">
        <v>2</v>
      </c>
      <c r="C208" s="200">
        <v>3</v>
      </c>
      <c r="D208" s="200">
        <v>4</v>
      </c>
      <c r="E208" s="200">
        <v>5</v>
      </c>
      <c r="F208" s="200">
        <v>6</v>
      </c>
      <c r="G208" s="365"/>
      <c r="H208" s="230"/>
      <c r="I208" s="230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191"/>
    </row>
    <row r="209" spans="1:36" ht="63">
      <c r="A209" s="237" t="s">
        <v>608</v>
      </c>
      <c r="B209" s="297" t="s">
        <v>633</v>
      </c>
      <c r="C209" s="285">
        <v>1</v>
      </c>
      <c r="D209" s="482">
        <v>1</v>
      </c>
      <c r="E209" s="287">
        <v>3500</v>
      </c>
      <c r="F209" s="366">
        <f>D209*E209*C209</f>
        <v>3500</v>
      </c>
      <c r="G209" s="367"/>
      <c r="H209" s="368"/>
      <c r="I209" s="275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83"/>
      <c r="W209" s="283"/>
      <c r="X209" s="283"/>
      <c r="Y209" s="283"/>
      <c r="Z209" s="283"/>
      <c r="AA209" s="283"/>
      <c r="AB209" s="283"/>
      <c r="AC209" s="283"/>
      <c r="AD209" s="283"/>
      <c r="AE209" s="283"/>
      <c r="AF209" s="283"/>
      <c r="AG209" s="283"/>
      <c r="AH209" s="283"/>
      <c r="AI209" s="283"/>
      <c r="AJ209" s="191"/>
    </row>
    <row r="210" spans="1:36" ht="15.75">
      <c r="A210" s="237"/>
      <c r="B210" s="196"/>
      <c r="C210" s="214"/>
      <c r="D210" s="214"/>
      <c r="E210" s="214"/>
      <c r="F210" s="369"/>
      <c r="G210" s="370"/>
      <c r="H210" s="275"/>
      <c r="I210" s="275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  <c r="AJ210" s="191"/>
    </row>
    <row r="211" spans="1:36" ht="15.75">
      <c r="A211" s="755" t="s">
        <v>635</v>
      </c>
      <c r="B211" s="757"/>
      <c r="C211" s="371" t="s">
        <v>562</v>
      </c>
      <c r="D211" s="371" t="s">
        <v>562</v>
      </c>
      <c r="E211" s="371" t="s">
        <v>562</v>
      </c>
      <c r="F211" s="372">
        <f>SUM(F209:F210)</f>
        <v>3500</v>
      </c>
      <c r="G211" s="370"/>
      <c r="H211" s="275"/>
      <c r="I211" s="275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92"/>
      <c r="W211" s="292"/>
      <c r="X211" s="292"/>
      <c r="Y211" s="292"/>
      <c r="Z211" s="292"/>
      <c r="AA211" s="292"/>
      <c r="AB211" s="292"/>
      <c r="AC211" s="292"/>
      <c r="AD211" s="292"/>
      <c r="AE211" s="292"/>
      <c r="AF211" s="292"/>
      <c r="AG211" s="292"/>
      <c r="AH211" s="292"/>
      <c r="AI211" s="292"/>
      <c r="AJ211" s="191"/>
    </row>
    <row r="212" spans="1:10" ht="15.75">
      <c r="A212" s="236"/>
      <c r="B212" s="191"/>
      <c r="C212" s="236"/>
      <c r="D212" s="236"/>
      <c r="E212" s="236"/>
      <c r="F212" s="236"/>
      <c r="G212" s="191"/>
      <c r="H212" s="277"/>
      <c r="I212" s="277"/>
      <c r="J212" s="191"/>
    </row>
    <row r="213" spans="1:11" ht="151.5" customHeight="1">
      <c r="A213" s="682" t="s">
        <v>636</v>
      </c>
      <c r="B213" s="682"/>
      <c r="C213" s="682"/>
      <c r="D213" s="682"/>
      <c r="E213" s="682"/>
      <c r="F213" s="682"/>
      <c r="G213" s="682"/>
      <c r="H213" s="682"/>
      <c r="I213" s="682"/>
      <c r="J213" s="682"/>
      <c r="K213" s="682"/>
    </row>
    <row r="214" spans="1:10" ht="15.75">
      <c r="A214" s="236"/>
      <c r="B214" s="191"/>
      <c r="C214" s="236"/>
      <c r="D214" s="236"/>
      <c r="E214" s="236"/>
      <c r="F214" s="236"/>
      <c r="G214" s="191"/>
      <c r="H214" s="277"/>
      <c r="I214" s="277"/>
      <c r="J214" s="191"/>
    </row>
    <row r="215" spans="1:10" ht="15.75">
      <c r="A215" s="282"/>
      <c r="B215" s="282" t="s">
        <v>637</v>
      </c>
      <c r="C215" s="282"/>
      <c r="D215" s="282"/>
      <c r="E215" s="282"/>
      <c r="F215" s="236"/>
      <c r="G215" s="191"/>
      <c r="H215" s="277"/>
      <c r="I215" s="277"/>
      <c r="J215" s="191"/>
    </row>
    <row r="216" spans="1:10" ht="15.75">
      <c r="A216" s="236"/>
      <c r="B216" s="191"/>
      <c r="C216" s="236"/>
      <c r="D216" s="236"/>
      <c r="E216" s="236"/>
      <c r="F216" s="236"/>
      <c r="G216" s="191"/>
      <c r="H216" s="277"/>
      <c r="I216" s="277"/>
      <c r="J216" s="191"/>
    </row>
    <row r="217" spans="1:10" ht="41.25" customHeight="1">
      <c r="A217" s="670" t="s">
        <v>545</v>
      </c>
      <c r="B217" s="685" t="s">
        <v>566</v>
      </c>
      <c r="C217" s="685" t="s">
        <v>638</v>
      </c>
      <c r="D217" s="685" t="s">
        <v>639</v>
      </c>
      <c r="E217" s="235" t="s">
        <v>731</v>
      </c>
      <c r="F217" s="236"/>
      <c r="G217" s="236"/>
      <c r="H217" s="256"/>
      <c r="I217" s="277"/>
      <c r="J217" s="191"/>
    </row>
    <row r="218" spans="1:10" ht="31.5">
      <c r="A218" s="671"/>
      <c r="B218" s="685"/>
      <c r="C218" s="685"/>
      <c r="D218" s="685"/>
      <c r="E218" s="269" t="s">
        <v>732</v>
      </c>
      <c r="F218" s="363"/>
      <c r="G218" s="363"/>
      <c r="H218" s="271"/>
      <c r="I218" s="277"/>
      <c r="J218" s="191"/>
    </row>
    <row r="219" spans="1:10" ht="15.75">
      <c r="A219" s="280">
        <v>1</v>
      </c>
      <c r="B219" s="281">
        <v>2</v>
      </c>
      <c r="C219" s="281">
        <v>3</v>
      </c>
      <c r="D219" s="281">
        <v>4</v>
      </c>
      <c r="E219" s="273">
        <v>5</v>
      </c>
      <c r="F219" s="230"/>
      <c r="G219" s="230"/>
      <c r="H219" s="230"/>
      <c r="I219" s="277"/>
      <c r="J219" s="191"/>
    </row>
    <row r="220" spans="1:10" ht="31.5">
      <c r="A220" s="199">
        <v>1</v>
      </c>
      <c r="B220" s="297" t="s">
        <v>733</v>
      </c>
      <c r="C220" s="201">
        <v>1</v>
      </c>
      <c r="D220" s="201">
        <v>11000</v>
      </c>
      <c r="E220" s="264">
        <f>C220*D220</f>
        <v>11000</v>
      </c>
      <c r="F220" s="275"/>
      <c r="G220" s="275"/>
      <c r="H220" s="275"/>
      <c r="I220" s="277"/>
      <c r="J220" s="191"/>
    </row>
    <row r="221" spans="1:10" ht="15.75">
      <c r="A221" s="199"/>
      <c r="B221" s="195"/>
      <c r="C221" s="201"/>
      <c r="D221" s="201"/>
      <c r="E221" s="264"/>
      <c r="F221" s="275"/>
      <c r="G221" s="275"/>
      <c r="H221" s="275"/>
      <c r="I221" s="277"/>
      <c r="J221" s="191"/>
    </row>
    <row r="222" spans="1:10" ht="15.75">
      <c r="A222" s="687" t="s">
        <v>561</v>
      </c>
      <c r="B222" s="688"/>
      <c r="C222" s="304" t="s">
        <v>562</v>
      </c>
      <c r="D222" s="304" t="s">
        <v>562</v>
      </c>
      <c r="E222" s="373">
        <f>SUM(E220:E221)</f>
        <v>11000</v>
      </c>
      <c r="F222" s="275"/>
      <c r="G222" s="275"/>
      <c r="H222" s="275"/>
      <c r="I222" s="277"/>
      <c r="J222" s="191"/>
    </row>
    <row r="223" spans="1:10" ht="15.75">
      <c r="A223" s="236"/>
      <c r="B223" s="191"/>
      <c r="C223" s="236"/>
      <c r="D223" s="236"/>
      <c r="E223" s="236"/>
      <c r="F223" s="236"/>
      <c r="G223" s="191"/>
      <c r="H223" s="277"/>
      <c r="I223" s="277"/>
      <c r="J223" s="191"/>
    </row>
    <row r="224" spans="1:11" ht="36" customHeight="1">
      <c r="A224" s="692" t="s">
        <v>641</v>
      </c>
      <c r="B224" s="692"/>
      <c r="C224" s="692"/>
      <c r="D224" s="692"/>
      <c r="E224" s="692"/>
      <c r="F224" s="692"/>
      <c r="G224" s="692"/>
      <c r="H224" s="692"/>
      <c r="I224" s="692"/>
      <c r="J224" s="692"/>
      <c r="K224" s="692"/>
    </row>
    <row r="225" spans="1:10" ht="15.75">
      <c r="A225" s="236"/>
      <c r="B225" s="191"/>
      <c r="C225" s="236"/>
      <c r="D225" s="236"/>
      <c r="E225" s="236"/>
      <c r="F225" s="236"/>
      <c r="G225" s="191"/>
      <c r="H225" s="277"/>
      <c r="I225" s="277"/>
      <c r="J225" s="191"/>
    </row>
    <row r="226" spans="1:10" ht="15.75">
      <c r="A226" s="282"/>
      <c r="B226" s="282" t="s">
        <v>642</v>
      </c>
      <c r="C226" s="282"/>
      <c r="D226" s="282"/>
      <c r="E226" s="282"/>
      <c r="F226" s="282"/>
      <c r="G226" s="191"/>
      <c r="H226" s="277"/>
      <c r="I226" s="277"/>
      <c r="J226" s="191"/>
    </row>
    <row r="227" spans="1:10" ht="15.75">
      <c r="A227" s="236"/>
      <c r="B227" s="191"/>
      <c r="C227" s="236"/>
      <c r="D227" s="236"/>
      <c r="E227" s="236"/>
      <c r="F227" s="236"/>
      <c r="G227" s="191"/>
      <c r="H227" s="277"/>
      <c r="I227" s="277"/>
      <c r="J227" s="191"/>
    </row>
    <row r="228" spans="1:10" ht="45" customHeight="1">
      <c r="A228" s="670" t="s">
        <v>545</v>
      </c>
      <c r="B228" s="685" t="s">
        <v>1</v>
      </c>
      <c r="C228" s="685" t="s">
        <v>643</v>
      </c>
      <c r="D228" s="685" t="s">
        <v>644</v>
      </c>
      <c r="E228" s="685" t="s">
        <v>645</v>
      </c>
      <c r="F228" s="235" t="s">
        <v>729</v>
      </c>
      <c r="G228" s="236"/>
      <c r="H228" s="236"/>
      <c r="I228" s="256"/>
      <c r="J228" s="191"/>
    </row>
    <row r="229" spans="1:10" ht="31.5">
      <c r="A229" s="671"/>
      <c r="B229" s="685"/>
      <c r="C229" s="685"/>
      <c r="D229" s="685"/>
      <c r="E229" s="685"/>
      <c r="F229" s="268" t="s">
        <v>732</v>
      </c>
      <c r="G229" s="363"/>
      <c r="H229" s="363"/>
      <c r="I229" s="271"/>
      <c r="J229" s="191"/>
    </row>
    <row r="230" spans="1:10" ht="15.75">
      <c r="A230" s="200">
        <v>1</v>
      </c>
      <c r="B230" s="200">
        <v>2</v>
      </c>
      <c r="C230" s="200">
        <v>3</v>
      </c>
      <c r="D230" s="200">
        <v>4</v>
      </c>
      <c r="E230" s="200">
        <v>5</v>
      </c>
      <c r="F230" s="203">
        <v>6</v>
      </c>
      <c r="G230" s="230"/>
      <c r="H230" s="230"/>
      <c r="I230" s="230"/>
      <c r="J230" s="191"/>
    </row>
    <row r="231" spans="1:10" ht="15.75">
      <c r="A231" s="293" t="s">
        <v>608</v>
      </c>
      <c r="B231" s="294" t="s">
        <v>646</v>
      </c>
      <c r="C231" s="295">
        <v>58.47069</v>
      </c>
      <c r="D231" s="295">
        <v>1860.27</v>
      </c>
      <c r="E231" s="295">
        <v>0</v>
      </c>
      <c r="F231" s="296">
        <f>ROUND(C231*D231,2)+62500</f>
        <v>171271.27000000002</v>
      </c>
      <c r="G231" s="374"/>
      <c r="H231" s="364"/>
      <c r="I231" s="275"/>
      <c r="J231" s="191"/>
    </row>
    <row r="232" spans="1:10" ht="15.75">
      <c r="A232" s="293" t="s">
        <v>588</v>
      </c>
      <c r="B232" s="297" t="s">
        <v>647</v>
      </c>
      <c r="C232" s="298">
        <f>22684</f>
        <v>22684</v>
      </c>
      <c r="D232" s="298">
        <v>6.32</v>
      </c>
      <c r="E232" s="295">
        <v>0</v>
      </c>
      <c r="F232" s="296">
        <f>ROUND(C232*D232,2)+31776</f>
        <v>175138.88</v>
      </c>
      <c r="G232" s="364"/>
      <c r="H232" s="364"/>
      <c r="I232" s="275"/>
      <c r="J232" s="191"/>
    </row>
    <row r="233" spans="1:10" ht="31.5">
      <c r="A233" s="293" t="s">
        <v>599</v>
      </c>
      <c r="B233" s="297" t="s">
        <v>648</v>
      </c>
      <c r="C233" s="298">
        <v>1038</v>
      </c>
      <c r="D233" s="298">
        <v>40.98</v>
      </c>
      <c r="E233" s="295">
        <v>0</v>
      </c>
      <c r="F233" s="296">
        <f>ROUND(C233*D233,2)+16000</f>
        <v>58537.24</v>
      </c>
      <c r="G233" s="364"/>
      <c r="H233" s="364"/>
      <c r="I233" s="275"/>
      <c r="J233" s="191"/>
    </row>
    <row r="234" spans="1:10" s="398" customFormat="1" ht="18.75">
      <c r="A234" s="763" t="s">
        <v>635</v>
      </c>
      <c r="B234" s="764"/>
      <c r="C234" s="394" t="s">
        <v>562</v>
      </c>
      <c r="D234" s="394" t="s">
        <v>562</v>
      </c>
      <c r="E234" s="394" t="s">
        <v>562</v>
      </c>
      <c r="F234" s="395">
        <f>SUM(F231:F233)</f>
        <v>404947.39</v>
      </c>
      <c r="G234" s="396"/>
      <c r="H234" s="396"/>
      <c r="I234" s="396"/>
      <c r="J234" s="397"/>
    </row>
    <row r="235" spans="1:10" ht="15.75">
      <c r="A235" s="236"/>
      <c r="B235" s="191"/>
      <c r="C235" s="236"/>
      <c r="D235" s="236"/>
      <c r="E235" s="236"/>
      <c r="F235" s="236"/>
      <c r="G235" s="191"/>
      <c r="H235" s="277"/>
      <c r="I235" s="277"/>
      <c r="J235" s="191"/>
    </row>
    <row r="236" spans="1:10" ht="15.75" hidden="1">
      <c r="A236" s="282"/>
      <c r="B236" s="282" t="s">
        <v>868</v>
      </c>
      <c r="C236" s="282"/>
      <c r="D236" s="282"/>
      <c r="E236" s="282"/>
      <c r="F236" s="282"/>
      <c r="G236" s="191"/>
      <c r="H236" s="277"/>
      <c r="I236" s="277"/>
      <c r="J236" s="191"/>
    </row>
    <row r="237" spans="1:10" ht="15.75" hidden="1">
      <c r="A237" s="236"/>
      <c r="B237" s="191"/>
      <c r="C237" s="236"/>
      <c r="D237" s="236"/>
      <c r="E237" s="236"/>
      <c r="F237" s="236"/>
      <c r="G237" s="191"/>
      <c r="H237" s="277"/>
      <c r="I237" s="277"/>
      <c r="J237" s="191"/>
    </row>
    <row r="238" spans="1:10" ht="31.5" hidden="1">
      <c r="A238" s="670" t="s">
        <v>545</v>
      </c>
      <c r="B238" s="685" t="s">
        <v>1</v>
      </c>
      <c r="C238" s="685" t="s">
        <v>643</v>
      </c>
      <c r="D238" s="685" t="s">
        <v>644</v>
      </c>
      <c r="E238" s="685" t="s">
        <v>645</v>
      </c>
      <c r="F238" s="235" t="s">
        <v>729</v>
      </c>
      <c r="G238" s="236"/>
      <c r="H238" s="236"/>
      <c r="I238" s="256"/>
      <c r="J238" s="191"/>
    </row>
    <row r="239" spans="1:10" ht="31.5" hidden="1">
      <c r="A239" s="671"/>
      <c r="B239" s="685"/>
      <c r="C239" s="685"/>
      <c r="D239" s="685"/>
      <c r="E239" s="685"/>
      <c r="F239" s="268" t="s">
        <v>732</v>
      </c>
      <c r="G239" s="363"/>
      <c r="H239" s="363"/>
      <c r="I239" s="271"/>
      <c r="J239" s="191"/>
    </row>
    <row r="240" spans="1:10" ht="15.75" hidden="1">
      <c r="A240" s="200">
        <v>1</v>
      </c>
      <c r="B240" s="200">
        <v>2</v>
      </c>
      <c r="C240" s="200">
        <v>3</v>
      </c>
      <c r="D240" s="200">
        <v>4</v>
      </c>
      <c r="E240" s="200">
        <v>5</v>
      </c>
      <c r="F240" s="203">
        <v>6</v>
      </c>
      <c r="G240" s="230"/>
      <c r="H240" s="230"/>
      <c r="I240" s="230"/>
      <c r="J240" s="191"/>
    </row>
    <row r="241" spans="1:10" ht="31.5" hidden="1">
      <c r="A241" s="200">
        <v>1</v>
      </c>
      <c r="B241" s="297" t="s">
        <v>869</v>
      </c>
      <c r="C241" s="298">
        <v>39.64</v>
      </c>
      <c r="D241" s="298">
        <v>1576.5</v>
      </c>
      <c r="E241" s="298"/>
      <c r="F241" s="298"/>
      <c r="G241" s="230"/>
      <c r="H241" s="230"/>
      <c r="I241" s="230"/>
      <c r="J241" s="191"/>
    </row>
    <row r="242" spans="1:10" ht="31.5" hidden="1">
      <c r="A242" s="237" t="s">
        <v>588</v>
      </c>
      <c r="B242" s="297" t="s">
        <v>870</v>
      </c>
      <c r="C242" s="298">
        <v>5788</v>
      </c>
      <c r="D242" s="298">
        <v>5.49</v>
      </c>
      <c r="E242" s="298"/>
      <c r="F242" s="298"/>
      <c r="G242" s="275"/>
      <c r="H242" s="275"/>
      <c r="I242" s="275"/>
      <c r="J242" s="191"/>
    </row>
    <row r="243" spans="1:10" ht="31.5" hidden="1">
      <c r="A243" s="237" t="s">
        <v>599</v>
      </c>
      <c r="B243" s="297" t="s">
        <v>871</v>
      </c>
      <c r="C243" s="298">
        <v>230</v>
      </c>
      <c r="D243" s="298">
        <v>69.46</v>
      </c>
      <c r="E243" s="298"/>
      <c r="F243" s="298"/>
      <c r="G243" s="275"/>
      <c r="H243" s="275"/>
      <c r="I243" s="275"/>
      <c r="J243" s="191"/>
    </row>
    <row r="244" spans="1:10" ht="15.75" hidden="1">
      <c r="A244" s="690" t="s">
        <v>635</v>
      </c>
      <c r="B244" s="691"/>
      <c r="C244" s="214" t="s">
        <v>562</v>
      </c>
      <c r="D244" s="214" t="s">
        <v>562</v>
      </c>
      <c r="E244" s="214" t="s">
        <v>562</v>
      </c>
      <c r="F244" s="539">
        <f>SUM(F241:F243)</f>
        <v>0</v>
      </c>
      <c r="G244" s="275"/>
      <c r="H244" s="275"/>
      <c r="I244" s="275"/>
      <c r="J244" s="191"/>
    </row>
    <row r="245" spans="1:10" ht="15.75">
      <c r="A245" s="236"/>
      <c r="B245" s="191"/>
      <c r="C245" s="236"/>
      <c r="D245" s="236"/>
      <c r="E245" s="236"/>
      <c r="F245" s="236"/>
      <c r="G245" s="191"/>
      <c r="H245" s="277"/>
      <c r="I245" s="277"/>
      <c r="J245" s="191"/>
    </row>
    <row r="246" spans="1:11" ht="66.75" customHeight="1">
      <c r="A246" s="682" t="s">
        <v>649</v>
      </c>
      <c r="B246" s="692"/>
      <c r="C246" s="692"/>
      <c r="D246" s="692"/>
      <c r="E246" s="692"/>
      <c r="F246" s="692"/>
      <c r="G246" s="692"/>
      <c r="H246" s="692"/>
      <c r="I246" s="692"/>
      <c r="J246" s="692"/>
      <c r="K246" s="692"/>
    </row>
    <row r="247" spans="1:10" ht="15.75">
      <c r="A247" s="236"/>
      <c r="B247" s="191"/>
      <c r="C247" s="236"/>
      <c r="D247" s="236"/>
      <c r="E247" s="236"/>
      <c r="F247" s="236"/>
      <c r="G247" s="191"/>
      <c r="H247" s="277"/>
      <c r="I247" s="277"/>
      <c r="J247" s="191"/>
    </row>
    <row r="248" spans="1:10" ht="15.75">
      <c r="A248" s="282"/>
      <c r="B248" s="282" t="s">
        <v>650</v>
      </c>
      <c r="C248" s="282"/>
      <c r="D248" s="282"/>
      <c r="E248" s="282"/>
      <c r="F248" s="236"/>
      <c r="G248" s="191"/>
      <c r="H248" s="277"/>
      <c r="I248" s="277"/>
      <c r="J248" s="191"/>
    </row>
    <row r="249" spans="1:10" ht="15.75">
      <c r="A249" s="236"/>
      <c r="B249" s="191"/>
      <c r="C249" s="236"/>
      <c r="D249" s="236"/>
      <c r="E249" s="236"/>
      <c r="F249" s="236"/>
      <c r="G249" s="191"/>
      <c r="H249" s="277"/>
      <c r="I249" s="277"/>
      <c r="J249" s="191"/>
    </row>
    <row r="250" spans="1:10" ht="22.5" customHeight="1">
      <c r="A250" s="670" t="s">
        <v>545</v>
      </c>
      <c r="B250" s="685" t="s">
        <v>1</v>
      </c>
      <c r="C250" s="685" t="s">
        <v>651</v>
      </c>
      <c r="D250" s="685" t="s">
        <v>652</v>
      </c>
      <c r="E250" s="199" t="s">
        <v>579</v>
      </c>
      <c r="F250" s="236"/>
      <c r="G250" s="236"/>
      <c r="H250" s="256"/>
      <c r="I250" s="277"/>
      <c r="J250" s="191"/>
    </row>
    <row r="251" spans="1:10" ht="78.75">
      <c r="A251" s="671"/>
      <c r="B251" s="685"/>
      <c r="C251" s="685"/>
      <c r="D251" s="685"/>
      <c r="E251" s="269" t="s">
        <v>734</v>
      </c>
      <c r="F251" s="363"/>
      <c r="G251" s="363"/>
      <c r="H251" s="271"/>
      <c r="I251" s="277"/>
      <c r="J251" s="191"/>
    </row>
    <row r="252" spans="1:10" ht="15.75">
      <c r="A252" s="280">
        <v>1</v>
      </c>
      <c r="B252" s="281">
        <v>2</v>
      </c>
      <c r="C252" s="281">
        <v>3</v>
      </c>
      <c r="D252" s="281">
        <v>4</v>
      </c>
      <c r="E252" s="273">
        <v>5</v>
      </c>
      <c r="F252" s="230"/>
      <c r="G252" s="230"/>
      <c r="H252" s="230"/>
      <c r="I252" s="277"/>
      <c r="J252" s="191"/>
    </row>
    <row r="253" spans="1:10" ht="15.75">
      <c r="A253" s="199"/>
      <c r="B253" s="195"/>
      <c r="C253" s="201"/>
      <c r="D253" s="201"/>
      <c r="E253" s="264"/>
      <c r="F253" s="275"/>
      <c r="G253" s="275"/>
      <c r="H253" s="275"/>
      <c r="I253" s="277"/>
      <c r="J253" s="191"/>
    </row>
    <row r="254" spans="1:10" ht="15.75">
      <c r="A254" s="199"/>
      <c r="B254" s="195"/>
      <c r="C254" s="201"/>
      <c r="D254" s="201"/>
      <c r="E254" s="264"/>
      <c r="F254" s="275"/>
      <c r="G254" s="275"/>
      <c r="H254" s="275"/>
      <c r="I254" s="277"/>
      <c r="J254" s="191"/>
    </row>
    <row r="255" spans="1:10" ht="15.75">
      <c r="A255" s="683" t="s">
        <v>561</v>
      </c>
      <c r="B255" s="684"/>
      <c r="C255" s="201" t="s">
        <v>562</v>
      </c>
      <c r="D255" s="201" t="s">
        <v>562</v>
      </c>
      <c r="E255" s="264">
        <f>SUM(E253:E254)</f>
        <v>0</v>
      </c>
      <c r="F255" s="275"/>
      <c r="G255" s="275"/>
      <c r="H255" s="275"/>
      <c r="I255" s="277"/>
      <c r="J255" s="191"/>
    </row>
    <row r="256" spans="1:11" ht="48" customHeight="1">
      <c r="A256" s="689" t="s">
        <v>654</v>
      </c>
      <c r="B256" s="689"/>
      <c r="C256" s="689"/>
      <c r="D256" s="689"/>
      <c r="E256" s="689"/>
      <c r="F256" s="689"/>
      <c r="G256" s="689"/>
      <c r="H256" s="689"/>
      <c r="I256" s="689"/>
      <c r="J256" s="689"/>
      <c r="K256" s="689"/>
    </row>
    <row r="257" spans="1:10" ht="15.75">
      <c r="A257" s="236"/>
      <c r="B257" s="191"/>
      <c r="C257" s="236"/>
      <c r="D257" s="236"/>
      <c r="E257" s="236"/>
      <c r="F257" s="236"/>
      <c r="G257" s="191"/>
      <c r="H257" s="277"/>
      <c r="I257" s="277"/>
      <c r="J257" s="191"/>
    </row>
    <row r="258" spans="1:10" ht="15.75">
      <c r="A258" s="282"/>
      <c r="B258" s="282" t="s">
        <v>655</v>
      </c>
      <c r="C258" s="282"/>
      <c r="D258" s="282"/>
      <c r="E258" s="282"/>
      <c r="F258" s="282"/>
      <c r="G258" s="191"/>
      <c r="H258" s="277"/>
      <c r="I258" s="277"/>
      <c r="J258" s="191"/>
    </row>
    <row r="259" spans="1:10" ht="15.75">
      <c r="A259" s="236"/>
      <c r="B259" s="191"/>
      <c r="C259" s="236"/>
      <c r="D259" s="236"/>
      <c r="E259" s="236"/>
      <c r="F259" s="236"/>
      <c r="G259" s="191"/>
      <c r="H259" s="277"/>
      <c r="I259" s="277"/>
      <c r="J259" s="191"/>
    </row>
    <row r="260" spans="1:10" ht="50.25" customHeight="1">
      <c r="A260" s="670" t="s">
        <v>545</v>
      </c>
      <c r="B260" s="685" t="s">
        <v>566</v>
      </c>
      <c r="C260" s="685" t="s">
        <v>656</v>
      </c>
      <c r="D260" s="685" t="s">
        <v>657</v>
      </c>
      <c r="E260" s="235" t="s">
        <v>735</v>
      </c>
      <c r="F260" s="236"/>
      <c r="G260" s="236"/>
      <c r="H260" s="256"/>
      <c r="I260" s="277"/>
      <c r="J260" s="191"/>
    </row>
    <row r="261" spans="1:10" ht="31.5">
      <c r="A261" s="671"/>
      <c r="B261" s="685"/>
      <c r="C261" s="685"/>
      <c r="D261" s="685"/>
      <c r="E261" s="269" t="s">
        <v>736</v>
      </c>
      <c r="F261" s="363"/>
      <c r="G261" s="363"/>
      <c r="H261" s="271"/>
      <c r="I261" s="277"/>
      <c r="J261" s="191"/>
    </row>
    <row r="262" spans="1:10" ht="15.75">
      <c r="A262" s="280">
        <v>1</v>
      </c>
      <c r="B262" s="281">
        <v>2</v>
      </c>
      <c r="C262" s="281">
        <v>3</v>
      </c>
      <c r="D262" s="281">
        <v>4</v>
      </c>
      <c r="E262" s="273">
        <v>5</v>
      </c>
      <c r="F262" s="230"/>
      <c r="G262" s="230"/>
      <c r="H262" s="230"/>
      <c r="I262" s="277"/>
      <c r="J262" s="191"/>
    </row>
    <row r="263" spans="1:10" ht="15.75">
      <c r="A263" s="280">
        <v>1</v>
      </c>
      <c r="B263" s="301" t="s">
        <v>659</v>
      </c>
      <c r="C263" s="281" t="s">
        <v>660</v>
      </c>
      <c r="D263" s="302">
        <v>9</v>
      </c>
      <c r="E263" s="375">
        <f>19414.63-3016-590.9</f>
        <v>15807.730000000001</v>
      </c>
      <c r="F263" s="230"/>
      <c r="G263" s="230"/>
      <c r="H263" s="230"/>
      <c r="I263" s="277"/>
      <c r="J263" s="191"/>
    </row>
    <row r="264" spans="1:10" ht="15.75">
      <c r="A264" s="280">
        <v>2</v>
      </c>
      <c r="B264" s="301" t="s">
        <v>661</v>
      </c>
      <c r="C264" s="281" t="s">
        <v>660</v>
      </c>
      <c r="D264" s="302">
        <v>9</v>
      </c>
      <c r="E264" s="375">
        <v>3600</v>
      </c>
      <c r="F264" s="230"/>
      <c r="G264" s="230"/>
      <c r="H264" s="230"/>
      <c r="I264" s="277"/>
      <c r="J264" s="191"/>
    </row>
    <row r="265" spans="1:10" ht="31.5">
      <c r="A265" s="280">
        <v>3</v>
      </c>
      <c r="B265" s="301" t="s">
        <v>662</v>
      </c>
      <c r="C265" s="281" t="s">
        <v>660</v>
      </c>
      <c r="D265" s="302">
        <v>9</v>
      </c>
      <c r="E265" s="376">
        <v>18000</v>
      </c>
      <c r="F265" s="230"/>
      <c r="G265" s="230"/>
      <c r="H265" s="230"/>
      <c r="I265" s="277"/>
      <c r="J265" s="191"/>
    </row>
    <row r="266" spans="1:10" ht="15.75">
      <c r="A266" s="280">
        <v>4</v>
      </c>
      <c r="B266" s="301" t="s">
        <v>663</v>
      </c>
      <c r="C266" s="281" t="s">
        <v>660</v>
      </c>
      <c r="D266" s="302">
        <v>9</v>
      </c>
      <c r="E266" s="375">
        <v>85000</v>
      </c>
      <c r="F266" s="230"/>
      <c r="G266" s="230"/>
      <c r="H266" s="230"/>
      <c r="I266" s="277"/>
      <c r="J266" s="191"/>
    </row>
    <row r="267" spans="1:10" ht="31.5">
      <c r="A267" s="280">
        <v>5</v>
      </c>
      <c r="B267" s="301" t="s">
        <v>664</v>
      </c>
      <c r="C267" s="281" t="s">
        <v>660</v>
      </c>
      <c r="D267" s="302">
        <v>9</v>
      </c>
      <c r="E267" s="375">
        <v>448000</v>
      </c>
      <c r="F267" s="230"/>
      <c r="G267" s="230"/>
      <c r="H267" s="230"/>
      <c r="I267" s="277"/>
      <c r="J267" s="191"/>
    </row>
    <row r="268" spans="1:10" ht="15.75">
      <c r="A268" s="280">
        <v>6</v>
      </c>
      <c r="B268" s="301" t="s">
        <v>665</v>
      </c>
      <c r="C268" s="281" t="s">
        <v>660</v>
      </c>
      <c r="D268" s="302">
        <v>1</v>
      </c>
      <c r="E268" s="375">
        <v>15000</v>
      </c>
      <c r="F268" s="230"/>
      <c r="G268" s="230"/>
      <c r="H268" s="230"/>
      <c r="I268" s="277"/>
      <c r="J268" s="191"/>
    </row>
    <row r="269" spans="1:10" ht="15.75">
      <c r="A269" s="280">
        <v>7</v>
      </c>
      <c r="B269" s="301" t="s">
        <v>666</v>
      </c>
      <c r="C269" s="281" t="s">
        <v>660</v>
      </c>
      <c r="D269" s="302">
        <v>1</v>
      </c>
      <c r="E269" s="375">
        <v>15000</v>
      </c>
      <c r="F269" s="230"/>
      <c r="G269" s="230"/>
      <c r="H269" s="230"/>
      <c r="I269" s="277"/>
      <c r="J269" s="191"/>
    </row>
    <row r="270" spans="1:10" ht="31.5">
      <c r="A270" s="280">
        <v>8</v>
      </c>
      <c r="B270" s="301" t="s">
        <v>669</v>
      </c>
      <c r="C270" s="281" t="s">
        <v>660</v>
      </c>
      <c r="D270" s="302">
        <v>4</v>
      </c>
      <c r="E270" s="376">
        <f>1800000-564000-20000+1051898.98+32320.45-500000-400000-8000-100000</f>
        <v>1292219.4300000002</v>
      </c>
      <c r="F270" s="230"/>
      <c r="G270" s="230"/>
      <c r="H270" s="230"/>
      <c r="I270" s="277"/>
      <c r="J270" s="191"/>
    </row>
    <row r="271" spans="1:10" ht="31.5">
      <c r="A271" s="280">
        <v>9</v>
      </c>
      <c r="B271" s="301" t="s">
        <v>737</v>
      </c>
      <c r="C271" s="281" t="s">
        <v>660</v>
      </c>
      <c r="D271" s="302">
        <v>1</v>
      </c>
      <c r="E271" s="376">
        <v>80000</v>
      </c>
      <c r="F271" s="230"/>
      <c r="G271" s="230"/>
      <c r="H271" s="230"/>
      <c r="I271" s="277"/>
      <c r="J271" s="191"/>
    </row>
    <row r="272" spans="1:10" ht="31.5">
      <c r="A272" s="280">
        <v>10</v>
      </c>
      <c r="B272" s="301" t="s">
        <v>670</v>
      </c>
      <c r="C272" s="281" t="s">
        <v>660</v>
      </c>
      <c r="D272" s="302">
        <v>4</v>
      </c>
      <c r="E272" s="376">
        <v>120000</v>
      </c>
      <c r="F272" s="230"/>
      <c r="G272" s="230"/>
      <c r="H272" s="230"/>
      <c r="I272" s="277"/>
      <c r="J272" s="191"/>
    </row>
    <row r="273" spans="1:10" ht="47.25">
      <c r="A273" s="550">
        <v>11</v>
      </c>
      <c r="B273" s="301" t="s">
        <v>932</v>
      </c>
      <c r="C273" s="201"/>
      <c r="D273" s="201">
        <v>1</v>
      </c>
      <c r="E273" s="373">
        <v>60000</v>
      </c>
      <c r="F273" s="230"/>
      <c r="G273" s="230"/>
      <c r="H273" s="230"/>
      <c r="I273" s="277"/>
      <c r="J273" s="191"/>
    </row>
    <row r="274" spans="1:10" ht="31.5">
      <c r="A274" s="550">
        <v>12</v>
      </c>
      <c r="B274" s="301" t="s">
        <v>933</v>
      </c>
      <c r="C274" s="201"/>
      <c r="D274" s="201">
        <v>1</v>
      </c>
      <c r="E274" s="373">
        <v>30000</v>
      </c>
      <c r="F274" s="230"/>
      <c r="G274" s="230"/>
      <c r="H274" s="230"/>
      <c r="I274" s="277"/>
      <c r="J274" s="191"/>
    </row>
    <row r="275" spans="1:10" ht="31.5">
      <c r="A275" s="550">
        <v>13</v>
      </c>
      <c r="B275" s="301" t="s">
        <v>934</v>
      </c>
      <c r="C275" s="201"/>
      <c r="D275" s="201">
        <v>10</v>
      </c>
      <c r="E275" s="373">
        <v>50000</v>
      </c>
      <c r="F275" s="230"/>
      <c r="G275" s="230"/>
      <c r="H275" s="230"/>
      <c r="I275" s="277"/>
      <c r="J275" s="191"/>
    </row>
    <row r="276" spans="1:10" ht="31.5">
      <c r="A276" s="550">
        <v>14</v>
      </c>
      <c r="B276" s="301" t="s">
        <v>935</v>
      </c>
      <c r="C276" s="201"/>
      <c r="D276" s="201">
        <v>1</v>
      </c>
      <c r="E276" s="373">
        <v>155405.4</v>
      </c>
      <c r="F276" s="230"/>
      <c r="G276" s="230"/>
      <c r="H276" s="230"/>
      <c r="I276" s="277"/>
      <c r="J276" s="191"/>
    </row>
    <row r="277" spans="1:10" ht="15.75">
      <c r="A277" s="550">
        <v>15</v>
      </c>
      <c r="B277" s="301" t="s">
        <v>936</v>
      </c>
      <c r="C277" s="201"/>
      <c r="D277" s="201">
        <v>1</v>
      </c>
      <c r="E277" s="373">
        <v>172447</v>
      </c>
      <c r="F277" s="230"/>
      <c r="G277" s="230"/>
      <c r="H277" s="230"/>
      <c r="I277" s="277"/>
      <c r="J277" s="191"/>
    </row>
    <row r="278" spans="1:10" ht="15.75">
      <c r="A278" s="550"/>
      <c r="B278" s="551"/>
      <c r="C278" s="281"/>
      <c r="D278" s="544"/>
      <c r="E278" s="376"/>
      <c r="F278" s="230"/>
      <c r="G278" s="230"/>
      <c r="H278" s="230"/>
      <c r="I278" s="277"/>
      <c r="J278" s="191"/>
    </row>
    <row r="279" spans="1:10" ht="15.75">
      <c r="A279" s="550"/>
      <c r="B279" s="551"/>
      <c r="C279" s="281"/>
      <c r="D279" s="544"/>
      <c r="E279" s="376"/>
      <c r="F279" s="230"/>
      <c r="G279" s="230"/>
      <c r="H279" s="230"/>
      <c r="I279" s="277"/>
      <c r="J279" s="191"/>
    </row>
    <row r="280" spans="1:10" ht="15.75">
      <c r="A280" s="683" t="s">
        <v>561</v>
      </c>
      <c r="B280" s="684"/>
      <c r="C280" s="201" t="s">
        <v>562</v>
      </c>
      <c r="D280" s="201" t="s">
        <v>562</v>
      </c>
      <c r="E280" s="373">
        <f>SUM(E263:E277)</f>
        <v>2560479.56</v>
      </c>
      <c r="F280" s="275"/>
      <c r="G280" s="275"/>
      <c r="H280" s="275"/>
      <c r="I280" s="277"/>
      <c r="J280" s="191"/>
    </row>
    <row r="281" spans="1:10" ht="31.5">
      <c r="A281" s="280">
        <v>11</v>
      </c>
      <c r="B281" s="301" t="s">
        <v>750</v>
      </c>
      <c r="C281" s="281" t="s">
        <v>660</v>
      </c>
      <c r="D281" s="302">
        <v>1</v>
      </c>
      <c r="E281" s="376">
        <v>500000</v>
      </c>
      <c r="F281" s="275"/>
      <c r="G281" s="275"/>
      <c r="H281" s="275"/>
      <c r="I281" s="277"/>
      <c r="J281" s="191"/>
    </row>
    <row r="282" spans="1:10" ht="15.75">
      <c r="A282" s="683" t="s">
        <v>561</v>
      </c>
      <c r="B282" s="684"/>
      <c r="C282" s="201" t="s">
        <v>562</v>
      </c>
      <c r="D282" s="201" t="s">
        <v>562</v>
      </c>
      <c r="E282" s="373">
        <f>SUM(E281)</f>
        <v>500000</v>
      </c>
      <c r="F282" s="275"/>
      <c r="G282" s="275"/>
      <c r="H282" s="275"/>
      <c r="I282" s="277"/>
      <c r="J282" s="191"/>
    </row>
    <row r="283" spans="1:10" ht="15.75">
      <c r="A283" s="236"/>
      <c r="B283" s="191"/>
      <c r="C283" s="236"/>
      <c r="D283" s="236"/>
      <c r="E283" s="236"/>
      <c r="F283" s="236"/>
      <c r="G283" s="191"/>
      <c r="H283" s="277"/>
      <c r="I283" s="277"/>
      <c r="J283" s="191"/>
    </row>
    <row r="284" spans="1:10" ht="15.75" hidden="1">
      <c r="A284" s="282"/>
      <c r="B284" s="282" t="s">
        <v>872</v>
      </c>
      <c r="C284" s="282"/>
      <c r="D284" s="282"/>
      <c r="E284" s="282"/>
      <c r="F284" s="282"/>
      <c r="G284" s="191"/>
      <c r="H284" s="277"/>
      <c r="I284" s="277"/>
      <c r="J284" s="191"/>
    </row>
    <row r="285" spans="1:10" ht="15.75" hidden="1">
      <c r="A285" s="236"/>
      <c r="B285" s="191"/>
      <c r="C285" s="236"/>
      <c r="D285" s="236"/>
      <c r="E285" s="236"/>
      <c r="F285" s="236"/>
      <c r="G285" s="191"/>
      <c r="H285" s="277"/>
      <c r="I285" s="277"/>
      <c r="J285" s="191"/>
    </row>
    <row r="286" spans="1:10" ht="31.5" hidden="1">
      <c r="A286" s="670" t="s">
        <v>545</v>
      </c>
      <c r="B286" s="685" t="s">
        <v>566</v>
      </c>
      <c r="C286" s="685" t="s">
        <v>656</v>
      </c>
      <c r="D286" s="685" t="s">
        <v>657</v>
      </c>
      <c r="E286" s="235" t="s">
        <v>735</v>
      </c>
      <c r="F286" s="236"/>
      <c r="G286" s="236"/>
      <c r="H286" s="256"/>
      <c r="I286" s="277"/>
      <c r="J286" s="191"/>
    </row>
    <row r="287" spans="1:10" ht="31.5" hidden="1">
      <c r="A287" s="671"/>
      <c r="B287" s="685"/>
      <c r="C287" s="685"/>
      <c r="D287" s="685"/>
      <c r="E287" s="269" t="s">
        <v>736</v>
      </c>
      <c r="F287" s="363"/>
      <c r="G287" s="363"/>
      <c r="H287" s="271"/>
      <c r="I287" s="277"/>
      <c r="J287" s="191"/>
    </row>
    <row r="288" spans="1:10" ht="15.75" hidden="1">
      <c r="A288" s="280">
        <v>1</v>
      </c>
      <c r="B288" s="281">
        <v>2</v>
      </c>
      <c r="C288" s="281">
        <v>3</v>
      </c>
      <c r="D288" s="281">
        <v>4</v>
      </c>
      <c r="E288" s="273">
        <v>5</v>
      </c>
      <c r="F288" s="230"/>
      <c r="G288" s="230"/>
      <c r="H288" s="230"/>
      <c r="I288" s="277"/>
      <c r="J288" s="191"/>
    </row>
    <row r="289" spans="1:10" ht="47.25" hidden="1">
      <c r="A289" s="199">
        <v>1</v>
      </c>
      <c r="B289" s="301" t="s">
        <v>932</v>
      </c>
      <c r="C289" s="201"/>
      <c r="D289" s="201">
        <v>1</v>
      </c>
      <c r="E289" s="264"/>
      <c r="F289" s="275"/>
      <c r="G289" s="275"/>
      <c r="H289" s="275"/>
      <c r="I289" s="277"/>
      <c r="J289" s="191"/>
    </row>
    <row r="290" spans="1:10" ht="31.5" hidden="1">
      <c r="A290" s="199">
        <v>2</v>
      </c>
      <c r="B290" s="301" t="s">
        <v>933</v>
      </c>
      <c r="C290" s="201"/>
      <c r="D290" s="201">
        <v>1</v>
      </c>
      <c r="E290" s="264"/>
      <c r="F290" s="275"/>
      <c r="G290" s="275"/>
      <c r="H290" s="275"/>
      <c r="I290" s="277"/>
      <c r="J290" s="191"/>
    </row>
    <row r="291" spans="1:10" ht="31.5" hidden="1">
      <c r="A291" s="199">
        <v>3</v>
      </c>
      <c r="B291" s="301" t="s">
        <v>934</v>
      </c>
      <c r="C291" s="201"/>
      <c r="D291" s="201">
        <v>10</v>
      </c>
      <c r="E291" s="264"/>
      <c r="F291" s="275"/>
      <c r="G291" s="275"/>
      <c r="H291" s="275"/>
      <c r="I291" s="277"/>
      <c r="J291" s="191"/>
    </row>
    <row r="292" spans="1:10" ht="31.5" hidden="1">
      <c r="A292" s="199">
        <v>4</v>
      </c>
      <c r="B292" s="301" t="s">
        <v>935</v>
      </c>
      <c r="C292" s="201"/>
      <c r="D292" s="201">
        <v>1</v>
      </c>
      <c r="E292" s="264"/>
      <c r="F292" s="275"/>
      <c r="G292" s="275"/>
      <c r="H292" s="275"/>
      <c r="I292" s="277"/>
      <c r="J292" s="191"/>
    </row>
    <row r="293" spans="1:10" ht="15.75" hidden="1">
      <c r="A293" s="199">
        <v>4</v>
      </c>
      <c r="B293" s="301" t="s">
        <v>936</v>
      </c>
      <c r="C293" s="201"/>
      <c r="D293" s="201">
        <v>1</v>
      </c>
      <c r="E293" s="264"/>
      <c r="F293" s="275"/>
      <c r="G293" s="275"/>
      <c r="H293" s="275"/>
      <c r="I293" s="277"/>
      <c r="J293" s="191"/>
    </row>
    <row r="294" spans="1:10" ht="15.75" hidden="1">
      <c r="A294" s="683" t="s">
        <v>561</v>
      </c>
      <c r="B294" s="684"/>
      <c r="C294" s="201" t="s">
        <v>562</v>
      </c>
      <c r="D294" s="201" t="s">
        <v>562</v>
      </c>
      <c r="E294" s="373">
        <f>SUM(E289:E293)</f>
        <v>0</v>
      </c>
      <c r="F294" s="275"/>
      <c r="G294" s="275"/>
      <c r="H294" s="275"/>
      <c r="I294" s="277"/>
      <c r="J294" s="191"/>
    </row>
    <row r="295" spans="1:10" ht="15.75">
      <c r="A295" s="236"/>
      <c r="B295" s="191"/>
      <c r="C295" s="236"/>
      <c r="D295" s="236"/>
      <c r="E295" s="236"/>
      <c r="F295" s="236"/>
      <c r="G295" s="191"/>
      <c r="H295" s="277"/>
      <c r="I295" s="277"/>
      <c r="J295" s="191"/>
    </row>
    <row r="296" spans="1:10" ht="15.75">
      <c r="A296" s="236"/>
      <c r="B296" s="191"/>
      <c r="C296" s="236"/>
      <c r="D296" s="236"/>
      <c r="E296" s="236"/>
      <c r="F296" s="236"/>
      <c r="G296" s="191"/>
      <c r="H296" s="277"/>
      <c r="I296" s="277"/>
      <c r="J296" s="191"/>
    </row>
    <row r="297" spans="1:11" ht="53.25" customHeight="1">
      <c r="A297" s="682" t="s">
        <v>671</v>
      </c>
      <c r="B297" s="682"/>
      <c r="C297" s="682"/>
      <c r="D297" s="682"/>
      <c r="E297" s="682"/>
      <c r="F297" s="682"/>
      <c r="G297" s="682"/>
      <c r="H297" s="682"/>
      <c r="I297" s="682"/>
      <c r="J297" s="682"/>
      <c r="K297" s="682"/>
    </row>
    <row r="298" spans="1:10" ht="15.75">
      <c r="A298" s="236"/>
      <c r="B298" s="191"/>
      <c r="C298" s="236"/>
      <c r="D298" s="236"/>
      <c r="E298" s="236"/>
      <c r="F298" s="236"/>
      <c r="G298" s="191"/>
      <c r="H298" s="277"/>
      <c r="I298" s="277"/>
      <c r="J298" s="191"/>
    </row>
    <row r="299" spans="1:10" ht="15.75">
      <c r="A299" s="282"/>
      <c r="B299" s="282" t="s">
        <v>672</v>
      </c>
      <c r="C299" s="282"/>
      <c r="D299" s="282"/>
      <c r="E299" s="282"/>
      <c r="F299" s="236"/>
      <c r="G299" s="191"/>
      <c r="H299" s="277"/>
      <c r="I299" s="277"/>
      <c r="J299" s="191"/>
    </row>
    <row r="300" spans="1:10" ht="15.75">
      <c r="A300" s="236"/>
      <c r="B300" s="191"/>
      <c r="C300" s="236"/>
      <c r="D300" s="236"/>
      <c r="E300" s="236"/>
      <c r="F300" s="236"/>
      <c r="G300" s="191"/>
      <c r="H300" s="277"/>
      <c r="I300" s="277"/>
      <c r="J300" s="191"/>
    </row>
    <row r="301" spans="1:10" ht="39" customHeight="1">
      <c r="A301" s="670" t="s">
        <v>545</v>
      </c>
      <c r="B301" s="685" t="s">
        <v>1</v>
      </c>
      <c r="C301" s="685" t="s">
        <v>673</v>
      </c>
      <c r="D301" s="235" t="s">
        <v>738</v>
      </c>
      <c r="E301" s="236"/>
      <c r="F301" s="236"/>
      <c r="G301" s="256"/>
      <c r="H301" s="277"/>
      <c r="I301" s="277"/>
      <c r="J301" s="191"/>
    </row>
    <row r="302" spans="1:10" ht="31.5">
      <c r="A302" s="671"/>
      <c r="B302" s="685"/>
      <c r="C302" s="685"/>
      <c r="D302" s="269" t="s">
        <v>739</v>
      </c>
      <c r="E302" s="363"/>
      <c r="F302" s="363"/>
      <c r="G302" s="271"/>
      <c r="H302" s="277"/>
      <c r="I302" s="277"/>
      <c r="J302" s="191"/>
    </row>
    <row r="303" spans="1:10" ht="15.75">
      <c r="A303" s="280">
        <v>1</v>
      </c>
      <c r="B303" s="281">
        <v>2</v>
      </c>
      <c r="C303" s="281">
        <v>3</v>
      </c>
      <c r="D303" s="273">
        <v>5</v>
      </c>
      <c r="E303" s="230"/>
      <c r="F303" s="230"/>
      <c r="G303" s="230"/>
      <c r="H303" s="277"/>
      <c r="I303" s="277"/>
      <c r="J303" s="191"/>
    </row>
    <row r="304" spans="1:10" ht="63">
      <c r="A304" s="280">
        <v>1</v>
      </c>
      <c r="B304" s="301" t="s">
        <v>675</v>
      </c>
      <c r="C304" s="377">
        <v>3</v>
      </c>
      <c r="D304" s="378">
        <v>134000</v>
      </c>
      <c r="E304" s="230"/>
      <c r="F304" s="230"/>
      <c r="G304" s="230"/>
      <c r="H304" s="277"/>
      <c r="I304" s="277"/>
      <c r="J304" s="191"/>
    </row>
    <row r="305" spans="1:10" ht="47.25">
      <c r="A305" s="280">
        <v>2</v>
      </c>
      <c r="B305" s="301" t="s">
        <v>676</v>
      </c>
      <c r="C305" s="377">
        <v>4</v>
      </c>
      <c r="D305" s="378">
        <v>100000</v>
      </c>
      <c r="E305" s="230"/>
      <c r="F305" s="230"/>
      <c r="G305" s="230"/>
      <c r="H305" s="277"/>
      <c r="I305" s="277"/>
      <c r="J305" s="191"/>
    </row>
    <row r="306" spans="1:10" ht="15.75">
      <c r="A306" s="280">
        <v>3</v>
      </c>
      <c r="B306" s="301" t="s">
        <v>677</v>
      </c>
      <c r="C306" s="377">
        <v>2</v>
      </c>
      <c r="D306" s="378">
        <v>35000</v>
      </c>
      <c r="E306" s="230"/>
      <c r="F306" s="230"/>
      <c r="G306" s="230"/>
      <c r="H306" s="277"/>
      <c r="I306" s="277"/>
      <c r="J306" s="191"/>
    </row>
    <row r="307" spans="1:10" ht="15.75">
      <c r="A307" s="280">
        <v>4</v>
      </c>
      <c r="B307" s="301" t="s">
        <v>678</v>
      </c>
      <c r="C307" s="377">
        <v>1</v>
      </c>
      <c r="D307" s="378">
        <v>80000</v>
      </c>
      <c r="E307" s="230"/>
      <c r="F307" s="230"/>
      <c r="G307" s="230"/>
      <c r="H307" s="277"/>
      <c r="I307" s="277"/>
      <c r="J307" s="191"/>
    </row>
    <row r="308" spans="1:10" ht="31.5">
      <c r="A308" s="280">
        <v>5</v>
      </c>
      <c r="B308" s="301" t="s">
        <v>740</v>
      </c>
      <c r="C308" s="377">
        <v>1</v>
      </c>
      <c r="D308" s="378">
        <v>50000</v>
      </c>
      <c r="E308" s="230"/>
      <c r="F308" s="230"/>
      <c r="G308" s="230"/>
      <c r="H308" s="277"/>
      <c r="I308" s="277"/>
      <c r="J308" s="191"/>
    </row>
    <row r="309" spans="1:10" ht="16.5" customHeight="1">
      <c r="A309" s="280">
        <v>6</v>
      </c>
      <c r="B309" s="301" t="s">
        <v>741</v>
      </c>
      <c r="C309" s="377">
        <v>1</v>
      </c>
      <c r="D309" s="378">
        <v>80000</v>
      </c>
      <c r="E309" s="275"/>
      <c r="F309" s="275"/>
      <c r="G309" s="275"/>
      <c r="H309" s="277"/>
      <c r="I309" s="277"/>
      <c r="J309" s="191"/>
    </row>
    <row r="310" spans="1:10" ht="31.5">
      <c r="A310" s="280">
        <v>7</v>
      </c>
      <c r="B310" s="301" t="s">
        <v>742</v>
      </c>
      <c r="C310" s="377">
        <v>5</v>
      </c>
      <c r="D310" s="378">
        <f>295014.58+72402.32</f>
        <v>367416.9</v>
      </c>
      <c r="E310" s="275"/>
      <c r="F310" s="275"/>
      <c r="G310" s="275"/>
      <c r="H310" s="277"/>
      <c r="I310" s="277"/>
      <c r="J310" s="191"/>
    </row>
    <row r="311" spans="1:10" ht="31.5">
      <c r="A311" s="280">
        <v>8</v>
      </c>
      <c r="B311" s="301" t="s">
        <v>743</v>
      </c>
      <c r="C311" s="377">
        <v>24</v>
      </c>
      <c r="D311" s="378">
        <f>550000+122859.79-1000</f>
        <v>671859.79</v>
      </c>
      <c r="E311" s="275"/>
      <c r="F311" s="275"/>
      <c r="G311" s="275"/>
      <c r="H311" s="277"/>
      <c r="I311" s="277"/>
      <c r="J311" s="191"/>
    </row>
    <row r="312" spans="1:10" ht="47.25">
      <c r="A312" s="550">
        <v>9</v>
      </c>
      <c r="B312" s="301" t="s">
        <v>937</v>
      </c>
      <c r="C312" s="201">
        <v>6</v>
      </c>
      <c r="D312" s="373">
        <v>9600</v>
      </c>
      <c r="E312" s="275"/>
      <c r="F312" s="275"/>
      <c r="G312" s="275"/>
      <c r="H312" s="277"/>
      <c r="I312" s="277"/>
      <c r="J312" s="191"/>
    </row>
    <row r="313" spans="1:10" ht="47.25">
      <c r="A313" s="550">
        <v>10</v>
      </c>
      <c r="B313" s="301" t="s">
        <v>938</v>
      </c>
      <c r="C313" s="201">
        <v>1</v>
      </c>
      <c r="D313" s="373">
        <v>18000</v>
      </c>
      <c r="E313" s="275"/>
      <c r="F313" s="275"/>
      <c r="G313" s="275"/>
      <c r="H313" s="277"/>
      <c r="I313" s="277"/>
      <c r="J313" s="191"/>
    </row>
    <row r="314" spans="1:10" ht="15.75">
      <c r="A314" s="550">
        <v>11</v>
      </c>
      <c r="B314" s="301" t="s">
        <v>939</v>
      </c>
      <c r="C314" s="201">
        <v>1</v>
      </c>
      <c r="D314" s="373">
        <v>111321</v>
      </c>
      <c r="E314" s="275"/>
      <c r="F314" s="275"/>
      <c r="G314" s="275"/>
      <c r="H314" s="277"/>
      <c r="I314" s="277"/>
      <c r="J314" s="191"/>
    </row>
    <row r="315" spans="1:10" ht="31.5">
      <c r="A315" s="550">
        <v>12</v>
      </c>
      <c r="B315" s="301" t="s">
        <v>940</v>
      </c>
      <c r="C315" s="201">
        <v>36</v>
      </c>
      <c r="D315" s="373">
        <v>39079</v>
      </c>
      <c r="E315" s="275"/>
      <c r="F315" s="275"/>
      <c r="G315" s="275"/>
      <c r="H315" s="277"/>
      <c r="I315" s="277"/>
      <c r="J315" s="191"/>
    </row>
    <row r="316" spans="1:10" ht="47.25">
      <c r="A316" s="550">
        <v>13</v>
      </c>
      <c r="B316" s="301" t="s">
        <v>941</v>
      </c>
      <c r="C316" s="201">
        <v>1</v>
      </c>
      <c r="D316" s="373">
        <v>15000</v>
      </c>
      <c r="E316" s="275"/>
      <c r="F316" s="275"/>
      <c r="G316" s="275"/>
      <c r="H316" s="277"/>
      <c r="I316" s="277"/>
      <c r="J316" s="191"/>
    </row>
    <row r="317" spans="1:10" ht="15.75">
      <c r="A317" s="550"/>
      <c r="B317" s="551"/>
      <c r="C317" s="377"/>
      <c r="D317" s="378"/>
      <c r="E317" s="275"/>
      <c r="F317" s="275"/>
      <c r="G317" s="275"/>
      <c r="H317" s="277"/>
      <c r="I317" s="277"/>
      <c r="J317" s="191"/>
    </row>
    <row r="318" spans="1:10" ht="15.75">
      <c r="A318" s="550"/>
      <c r="B318" s="551"/>
      <c r="C318" s="377"/>
      <c r="D318" s="378"/>
      <c r="E318" s="275"/>
      <c r="F318" s="275"/>
      <c r="G318" s="275"/>
      <c r="H318" s="277"/>
      <c r="I318" s="277"/>
      <c r="J318" s="191"/>
    </row>
    <row r="319" spans="1:10" ht="15.75">
      <c r="A319" s="687" t="s">
        <v>561</v>
      </c>
      <c r="B319" s="688"/>
      <c r="C319" s="304" t="s">
        <v>562</v>
      </c>
      <c r="D319" s="373">
        <f>SUM(D304:D316)</f>
        <v>1711276.69</v>
      </c>
      <c r="E319" s="275"/>
      <c r="F319" s="275"/>
      <c r="G319" s="275"/>
      <c r="H319" s="277"/>
      <c r="I319" s="277"/>
      <c r="J319" s="191"/>
    </row>
    <row r="320" spans="1:10" ht="15.75">
      <c r="A320" s="236"/>
      <c r="B320" s="191"/>
      <c r="C320" s="236"/>
      <c r="D320" s="236"/>
      <c r="E320" s="236"/>
      <c r="F320" s="236"/>
      <c r="G320" s="191"/>
      <c r="H320" s="277"/>
      <c r="I320" s="277"/>
      <c r="J320" s="191"/>
    </row>
    <row r="321" spans="1:10" ht="15.75" hidden="1">
      <c r="A321" s="282"/>
      <c r="B321" s="282" t="s">
        <v>900</v>
      </c>
      <c r="C321" s="282"/>
      <c r="D321" s="282"/>
      <c r="E321" s="282"/>
      <c r="F321" s="236"/>
      <c r="G321" s="191"/>
      <c r="H321" s="277"/>
      <c r="I321" s="277"/>
      <c r="J321" s="191"/>
    </row>
    <row r="322" spans="1:10" ht="15.75" hidden="1">
      <c r="A322" s="236"/>
      <c r="B322" s="191"/>
      <c r="C322" s="236"/>
      <c r="D322" s="236"/>
      <c r="E322" s="236"/>
      <c r="F322" s="236"/>
      <c r="G322" s="191"/>
      <c r="H322" s="277"/>
      <c r="I322" s="277"/>
      <c r="J322" s="191"/>
    </row>
    <row r="323" spans="1:10" ht="31.5" hidden="1">
      <c r="A323" s="670" t="s">
        <v>545</v>
      </c>
      <c r="B323" s="685" t="s">
        <v>1</v>
      </c>
      <c r="C323" s="685" t="s">
        <v>673</v>
      </c>
      <c r="D323" s="235" t="s">
        <v>738</v>
      </c>
      <c r="E323" s="236"/>
      <c r="F323" s="236"/>
      <c r="G323" s="256"/>
      <c r="H323" s="277"/>
      <c r="I323" s="277"/>
      <c r="J323" s="191"/>
    </row>
    <row r="324" spans="1:10" ht="31.5" hidden="1">
      <c r="A324" s="671"/>
      <c r="B324" s="685"/>
      <c r="C324" s="685"/>
      <c r="D324" s="269" t="s">
        <v>739</v>
      </c>
      <c r="E324" s="363"/>
      <c r="F324" s="363"/>
      <c r="G324" s="271"/>
      <c r="H324" s="277"/>
      <c r="I324" s="277"/>
      <c r="J324" s="191"/>
    </row>
    <row r="325" spans="1:10" ht="15.75" hidden="1">
      <c r="A325" s="280">
        <v>1</v>
      </c>
      <c r="B325" s="281">
        <v>2</v>
      </c>
      <c r="C325" s="281">
        <v>3</v>
      </c>
      <c r="D325" s="273">
        <v>5</v>
      </c>
      <c r="E325" s="230"/>
      <c r="F325" s="230"/>
      <c r="G325" s="230"/>
      <c r="H325" s="277"/>
      <c r="I325" s="277"/>
      <c r="J325" s="191"/>
    </row>
    <row r="326" spans="1:10" ht="47.25" hidden="1">
      <c r="A326" s="199">
        <v>1</v>
      </c>
      <c r="B326" s="301" t="s">
        <v>937</v>
      </c>
      <c r="C326" s="201">
        <v>6</v>
      </c>
      <c r="D326" s="264"/>
      <c r="E326" s="275"/>
      <c r="F326" s="275"/>
      <c r="G326" s="275"/>
      <c r="H326" s="277"/>
      <c r="I326" s="277"/>
      <c r="J326" s="191"/>
    </row>
    <row r="327" spans="1:10" ht="47.25" hidden="1">
      <c r="A327" s="199">
        <v>2</v>
      </c>
      <c r="B327" s="301" t="s">
        <v>938</v>
      </c>
      <c r="C327" s="201">
        <v>1</v>
      </c>
      <c r="D327" s="264"/>
      <c r="E327" s="275"/>
      <c r="F327" s="275"/>
      <c r="G327" s="275"/>
      <c r="H327" s="277"/>
      <c r="I327" s="277"/>
      <c r="J327" s="191"/>
    </row>
    <row r="328" spans="1:10" ht="15.75" hidden="1">
      <c r="A328" s="199">
        <v>3</v>
      </c>
      <c r="B328" s="301" t="s">
        <v>939</v>
      </c>
      <c r="C328" s="201">
        <v>1</v>
      </c>
      <c r="D328" s="264"/>
      <c r="E328" s="275"/>
      <c r="F328" s="275"/>
      <c r="G328" s="275"/>
      <c r="H328" s="277"/>
      <c r="I328" s="277"/>
      <c r="J328" s="191"/>
    </row>
    <row r="329" spans="1:10" ht="31.5" hidden="1">
      <c r="A329" s="199">
        <v>4</v>
      </c>
      <c r="B329" s="301" t="s">
        <v>940</v>
      </c>
      <c r="C329" s="201">
        <v>36</v>
      </c>
      <c r="D329" s="264"/>
      <c r="E329" s="275"/>
      <c r="F329" s="275"/>
      <c r="G329" s="275"/>
      <c r="H329" s="277"/>
      <c r="I329" s="277"/>
      <c r="J329" s="191"/>
    </row>
    <row r="330" spans="1:10" ht="47.25" hidden="1">
      <c r="A330" s="199">
        <v>5</v>
      </c>
      <c r="B330" s="301" t="s">
        <v>941</v>
      </c>
      <c r="C330" s="201">
        <v>1</v>
      </c>
      <c r="D330" s="264"/>
      <c r="E330" s="275"/>
      <c r="F330" s="275"/>
      <c r="G330" s="275"/>
      <c r="H330" s="277"/>
      <c r="I330" s="277"/>
      <c r="J330" s="191"/>
    </row>
    <row r="331" spans="1:10" ht="15.75" hidden="1">
      <c r="A331" s="683" t="s">
        <v>561</v>
      </c>
      <c r="B331" s="684"/>
      <c r="C331" s="201" t="s">
        <v>562</v>
      </c>
      <c r="D331" s="373">
        <f>SUM(D326:D330)</f>
        <v>0</v>
      </c>
      <c r="E331" s="275"/>
      <c r="F331" s="275"/>
      <c r="G331" s="275"/>
      <c r="H331" s="277"/>
      <c r="I331" s="277"/>
      <c r="J331" s="191"/>
    </row>
    <row r="332" spans="1:10" ht="15.75">
      <c r="A332" s="236"/>
      <c r="B332" s="191"/>
      <c r="C332" s="236"/>
      <c r="D332" s="236"/>
      <c r="E332" s="236"/>
      <c r="F332" s="236"/>
      <c r="G332" s="191"/>
      <c r="H332" s="277"/>
      <c r="I332" s="277"/>
      <c r="J332" s="191"/>
    </row>
    <row r="333" spans="1:11" ht="149.25" customHeight="1">
      <c r="A333" s="682" t="s">
        <v>679</v>
      </c>
      <c r="B333" s="682"/>
      <c r="C333" s="682"/>
      <c r="D333" s="682"/>
      <c r="E333" s="682"/>
      <c r="F333" s="682"/>
      <c r="G333" s="682"/>
      <c r="H333" s="682"/>
      <c r="I333" s="682"/>
      <c r="J333" s="682"/>
      <c r="K333" s="682"/>
    </row>
    <row r="334" spans="1:10" ht="15.75">
      <c r="A334" s="236"/>
      <c r="B334" s="191"/>
      <c r="C334" s="236"/>
      <c r="D334" s="236"/>
      <c r="E334" s="236"/>
      <c r="F334" s="236"/>
      <c r="G334" s="191"/>
      <c r="H334" s="277"/>
      <c r="I334" s="277"/>
      <c r="J334" s="191"/>
    </row>
    <row r="335" spans="1:4" ht="15.75">
      <c r="A335" s="193"/>
      <c r="B335" s="193" t="s">
        <v>680</v>
      </c>
      <c r="C335" s="193"/>
      <c r="D335" s="193"/>
    </row>
    <row r="336" ht="15.75">
      <c r="B336" s="185"/>
    </row>
    <row r="337" spans="1:10" ht="50.25" customHeight="1">
      <c r="A337" s="670" t="s">
        <v>545</v>
      </c>
      <c r="B337" s="670" t="s">
        <v>566</v>
      </c>
      <c r="C337" s="672"/>
      <c r="D337" s="674" t="s">
        <v>651</v>
      </c>
      <c r="E337" s="676" t="s">
        <v>681</v>
      </c>
      <c r="F337" s="226" t="s">
        <v>744</v>
      </c>
      <c r="G337" s="352"/>
      <c r="H337" s="352"/>
      <c r="I337" s="308"/>
      <c r="J337" s="225"/>
    </row>
    <row r="338" spans="1:10" ht="41.25" customHeight="1">
      <c r="A338" s="671"/>
      <c r="B338" s="671"/>
      <c r="C338" s="673"/>
      <c r="D338" s="675"/>
      <c r="E338" s="677"/>
      <c r="F338" s="226" t="s">
        <v>745</v>
      </c>
      <c r="G338" s="352"/>
      <c r="H338" s="352"/>
      <c r="I338" s="191"/>
      <c r="J338" s="227"/>
    </row>
    <row r="339" spans="1:10" ht="15.75" customHeight="1">
      <c r="A339" s="231">
        <v>1</v>
      </c>
      <c r="B339" s="653">
        <v>2</v>
      </c>
      <c r="C339" s="654"/>
      <c r="D339" s="231">
        <v>3</v>
      </c>
      <c r="E339" s="231">
        <v>4</v>
      </c>
      <c r="F339" s="231">
        <v>5</v>
      </c>
      <c r="G339" s="277"/>
      <c r="H339" s="277"/>
      <c r="I339" s="277"/>
      <c r="J339" s="277"/>
    </row>
    <row r="340" spans="1:10" ht="15.75">
      <c r="A340" s="205">
        <v>1</v>
      </c>
      <c r="B340" s="655" t="s">
        <v>683</v>
      </c>
      <c r="C340" s="656"/>
      <c r="D340" s="199">
        <v>412</v>
      </c>
      <c r="E340" s="481">
        <v>208.12</v>
      </c>
      <c r="F340" s="264">
        <f>83248+200000</f>
        <v>283248</v>
      </c>
      <c r="G340" s="277"/>
      <c r="H340" s="277"/>
      <c r="I340" s="277"/>
      <c r="J340" s="191"/>
    </row>
    <row r="341" spans="1:10" ht="15.75">
      <c r="A341" s="205">
        <v>2</v>
      </c>
      <c r="B341" s="655" t="s">
        <v>684</v>
      </c>
      <c r="C341" s="656"/>
      <c r="D341" s="199">
        <v>1400</v>
      </c>
      <c r="E341" s="199">
        <v>15</v>
      </c>
      <c r="F341" s="264">
        <f>D341*E341</f>
        <v>21000</v>
      </c>
      <c r="G341" s="277"/>
      <c r="H341" s="277"/>
      <c r="I341" s="277"/>
      <c r="J341" s="191"/>
    </row>
    <row r="342" spans="1:10" ht="15.75">
      <c r="A342" s="205">
        <v>3</v>
      </c>
      <c r="B342" s="657" t="s">
        <v>942</v>
      </c>
      <c r="C342" s="658"/>
      <c r="D342" s="231">
        <v>1</v>
      </c>
      <c r="E342" s="231">
        <v>20000</v>
      </c>
      <c r="F342" s="362">
        <v>20000</v>
      </c>
      <c r="G342" s="277"/>
      <c r="H342" s="277"/>
      <c r="I342" s="277"/>
      <c r="J342" s="191"/>
    </row>
    <row r="343" spans="1:10" ht="15.75">
      <c r="A343" s="205">
        <v>4</v>
      </c>
      <c r="B343" s="649" t="s">
        <v>943</v>
      </c>
      <c r="C343" s="760"/>
      <c r="D343" s="231">
        <v>2</v>
      </c>
      <c r="E343" s="231">
        <v>35000</v>
      </c>
      <c r="F343" s="362">
        <v>70000</v>
      </c>
      <c r="G343" s="277"/>
      <c r="H343" s="277"/>
      <c r="I343" s="277"/>
      <c r="J343" s="191"/>
    </row>
    <row r="344" spans="1:10" ht="15.75">
      <c r="A344" s="205">
        <v>5</v>
      </c>
      <c r="B344" s="657" t="s">
        <v>944</v>
      </c>
      <c r="C344" s="658"/>
      <c r="D344" s="231">
        <v>32</v>
      </c>
      <c r="E344" s="231">
        <v>2500</v>
      </c>
      <c r="F344" s="362">
        <v>80000</v>
      </c>
      <c r="G344" s="277"/>
      <c r="H344" s="277"/>
      <c r="I344" s="277"/>
      <c r="J344" s="191"/>
    </row>
    <row r="345" spans="1:10" ht="15.75">
      <c r="A345" s="205">
        <v>6</v>
      </c>
      <c r="B345" s="657" t="s">
        <v>914</v>
      </c>
      <c r="C345" s="658"/>
      <c r="D345" s="231"/>
      <c r="E345" s="231"/>
      <c r="F345" s="362">
        <v>100000</v>
      </c>
      <c r="G345" s="277"/>
      <c r="H345" s="277"/>
      <c r="I345" s="277"/>
      <c r="J345" s="191"/>
    </row>
    <row r="346" spans="1:10" ht="15.75">
      <c r="A346" s="205"/>
      <c r="B346" s="544"/>
      <c r="C346" s="545"/>
      <c r="D346" s="199"/>
      <c r="E346" s="199"/>
      <c r="F346" s="264"/>
      <c r="G346" s="277"/>
      <c r="H346" s="277"/>
      <c r="I346" s="277"/>
      <c r="J346" s="191"/>
    </row>
    <row r="347" spans="1:10" ht="15.75">
      <c r="A347" s="205"/>
      <c r="B347" s="666"/>
      <c r="C347" s="667"/>
      <c r="D347" s="199"/>
      <c r="E347" s="199"/>
      <c r="F347" s="264"/>
      <c r="G347" s="191"/>
      <c r="H347" s="277"/>
      <c r="I347" s="277"/>
      <c r="J347" s="191"/>
    </row>
    <row r="348" spans="1:10" ht="15.75">
      <c r="A348" s="678" t="s">
        <v>571</v>
      </c>
      <c r="B348" s="679"/>
      <c r="C348" s="680"/>
      <c r="D348" s="314"/>
      <c r="E348" s="314" t="s">
        <v>562</v>
      </c>
      <c r="F348" s="373">
        <f>SUM(F340:F347)</f>
        <v>574248</v>
      </c>
      <c r="G348" s="191"/>
      <c r="H348" s="191"/>
      <c r="I348" s="191"/>
      <c r="J348" s="191"/>
    </row>
    <row r="349" ht="15.75">
      <c r="B349" s="185"/>
    </row>
    <row r="350" spans="1:4" ht="15.75" hidden="1">
      <c r="A350" s="193"/>
      <c r="B350" s="193" t="s">
        <v>913</v>
      </c>
      <c r="C350" s="193"/>
      <c r="D350" s="193"/>
    </row>
    <row r="351" ht="15.75" hidden="1">
      <c r="B351" s="185"/>
    </row>
    <row r="352" spans="1:10" ht="31.5" hidden="1">
      <c r="A352" s="670" t="s">
        <v>545</v>
      </c>
      <c r="B352" s="670" t="s">
        <v>566</v>
      </c>
      <c r="C352" s="672"/>
      <c r="D352" s="674" t="s">
        <v>651</v>
      </c>
      <c r="E352" s="676" t="s">
        <v>681</v>
      </c>
      <c r="F352" s="226" t="s">
        <v>744</v>
      </c>
      <c r="G352" s="352"/>
      <c r="H352" s="352"/>
      <c r="I352" s="308"/>
      <c r="J352" s="225"/>
    </row>
    <row r="353" spans="1:10" ht="31.5" hidden="1">
      <c r="A353" s="671"/>
      <c r="B353" s="671"/>
      <c r="C353" s="673"/>
      <c r="D353" s="675"/>
      <c r="E353" s="677"/>
      <c r="F353" s="226" t="s">
        <v>745</v>
      </c>
      <c r="G353" s="352"/>
      <c r="H353" s="352"/>
      <c r="I353" s="191"/>
      <c r="J353" s="227"/>
    </row>
    <row r="354" spans="1:10" ht="15.75" hidden="1">
      <c r="A354" s="231">
        <v>1</v>
      </c>
      <c r="B354" s="653">
        <v>2</v>
      </c>
      <c r="C354" s="654"/>
      <c r="D354" s="231">
        <v>3</v>
      </c>
      <c r="E354" s="231">
        <v>4</v>
      </c>
      <c r="F354" s="231">
        <v>5</v>
      </c>
      <c r="G354" s="277"/>
      <c r="H354" s="277"/>
      <c r="I354" s="277"/>
      <c r="J354" s="277"/>
    </row>
    <row r="355" spans="1:10" ht="15.75" hidden="1">
      <c r="A355" s="231">
        <v>1</v>
      </c>
      <c r="B355" s="657" t="s">
        <v>942</v>
      </c>
      <c r="C355" s="658"/>
      <c r="D355" s="231">
        <v>1</v>
      </c>
      <c r="E355" s="231">
        <v>20000</v>
      </c>
      <c r="F355" s="354"/>
      <c r="G355" s="277"/>
      <c r="H355" s="277"/>
      <c r="I355" s="277"/>
      <c r="J355" s="191"/>
    </row>
    <row r="356" spans="1:10" ht="15.75" hidden="1">
      <c r="A356" s="231">
        <v>2</v>
      </c>
      <c r="B356" s="649" t="s">
        <v>943</v>
      </c>
      <c r="C356" s="760"/>
      <c r="D356" s="231">
        <v>2</v>
      </c>
      <c r="E356" s="231">
        <v>35000</v>
      </c>
      <c r="F356" s="354"/>
      <c r="G356" s="277"/>
      <c r="H356" s="277"/>
      <c r="I356" s="277"/>
      <c r="J356" s="191"/>
    </row>
    <row r="357" spans="1:10" ht="15.75" hidden="1">
      <c r="A357" s="231">
        <v>3</v>
      </c>
      <c r="B357" s="657" t="s">
        <v>944</v>
      </c>
      <c r="C357" s="658"/>
      <c r="D357" s="231">
        <v>32</v>
      </c>
      <c r="E357" s="231">
        <v>2500</v>
      </c>
      <c r="F357" s="354"/>
      <c r="G357" s="277"/>
      <c r="H357" s="277"/>
      <c r="I357" s="277"/>
      <c r="J357" s="191"/>
    </row>
    <row r="358" spans="1:10" ht="15.75" hidden="1">
      <c r="A358" s="231">
        <v>4</v>
      </c>
      <c r="B358" s="657" t="s">
        <v>914</v>
      </c>
      <c r="C358" s="658"/>
      <c r="D358" s="231"/>
      <c r="E358" s="231"/>
      <c r="F358" s="354"/>
      <c r="G358" s="191"/>
      <c r="H358" s="277"/>
      <c r="I358" s="277"/>
      <c r="J358" s="191"/>
    </row>
    <row r="359" spans="1:10" ht="15.75" hidden="1">
      <c r="A359" s="649" t="s">
        <v>571</v>
      </c>
      <c r="B359" s="650"/>
      <c r="C359" s="651"/>
      <c r="D359" s="199"/>
      <c r="E359" s="199" t="s">
        <v>562</v>
      </c>
      <c r="F359" s="373">
        <f>SUM(F355:F358)</f>
        <v>0</v>
      </c>
      <c r="G359" s="191"/>
      <c r="H359" s="191"/>
      <c r="I359" s="191"/>
      <c r="J359" s="191"/>
    </row>
    <row r="360" ht="15.75">
      <c r="B360" s="185"/>
    </row>
    <row r="361" spans="1:4" ht="15.75">
      <c r="A361" s="193"/>
      <c r="B361" s="193" t="s">
        <v>686</v>
      </c>
      <c r="C361" s="193"/>
      <c r="D361" s="193"/>
    </row>
    <row r="362" ht="15.75">
      <c r="B362" s="185"/>
    </row>
    <row r="363" spans="1:10" ht="41.25" customHeight="1">
      <c r="A363" s="670" t="s">
        <v>545</v>
      </c>
      <c r="B363" s="670" t="s">
        <v>566</v>
      </c>
      <c r="C363" s="672"/>
      <c r="D363" s="674" t="s">
        <v>651</v>
      </c>
      <c r="E363" s="676" t="s">
        <v>681</v>
      </c>
      <c r="F363" s="226" t="s">
        <v>744</v>
      </c>
      <c r="G363" s="352"/>
      <c r="H363" s="352"/>
      <c r="I363" s="308"/>
      <c r="J363" s="225"/>
    </row>
    <row r="364" spans="1:10" ht="42.75" customHeight="1">
      <c r="A364" s="671"/>
      <c r="B364" s="671"/>
      <c r="C364" s="673"/>
      <c r="D364" s="675"/>
      <c r="E364" s="677"/>
      <c r="F364" s="226" t="s">
        <v>745</v>
      </c>
      <c r="G364" s="352"/>
      <c r="H364" s="352"/>
      <c r="I364" s="191"/>
      <c r="J364" s="227"/>
    </row>
    <row r="365" spans="1:10" ht="15.75" customHeight="1">
      <c r="A365" s="231">
        <v>1</v>
      </c>
      <c r="B365" s="653">
        <v>2</v>
      </c>
      <c r="C365" s="654"/>
      <c r="D365" s="231">
        <v>3</v>
      </c>
      <c r="E365" s="231">
        <v>4</v>
      </c>
      <c r="F365" s="231">
        <v>5</v>
      </c>
      <c r="G365" s="277"/>
      <c r="H365" s="277"/>
      <c r="I365" s="277"/>
      <c r="J365" s="277"/>
    </row>
    <row r="366" spans="1:10" ht="15.75">
      <c r="A366" s="205">
        <v>1</v>
      </c>
      <c r="B366" s="666" t="s">
        <v>691</v>
      </c>
      <c r="C366" s="667"/>
      <c r="D366" s="205">
        <v>1000</v>
      </c>
      <c r="E366" s="205">
        <v>50</v>
      </c>
      <c r="F366" s="264">
        <v>50000</v>
      </c>
      <c r="G366" s="277"/>
      <c r="H366" s="277"/>
      <c r="I366" s="277"/>
      <c r="J366" s="191"/>
    </row>
    <row r="367" spans="1:10" ht="15.75">
      <c r="A367" s="205">
        <v>2</v>
      </c>
      <c r="B367" s="666" t="s">
        <v>752</v>
      </c>
      <c r="C367" s="761"/>
      <c r="D367" s="205">
        <v>1000</v>
      </c>
      <c r="E367" s="205">
        <v>50</v>
      </c>
      <c r="F367" s="264">
        <v>50000</v>
      </c>
      <c r="G367" s="277"/>
      <c r="H367" s="277"/>
      <c r="I367" s="277"/>
      <c r="J367" s="191"/>
    </row>
    <row r="368" spans="1:10" ht="15.75">
      <c r="A368" s="205">
        <v>3</v>
      </c>
      <c r="B368" s="666" t="s">
        <v>753</v>
      </c>
      <c r="C368" s="761"/>
      <c r="D368" s="205">
        <v>1000</v>
      </c>
      <c r="E368" s="205">
        <v>100</v>
      </c>
      <c r="F368" s="264">
        <v>100000</v>
      </c>
      <c r="G368" s="277"/>
      <c r="H368" s="277"/>
      <c r="I368" s="277"/>
      <c r="J368" s="191"/>
    </row>
    <row r="369" spans="1:10" ht="15.75">
      <c r="A369" s="205">
        <v>4</v>
      </c>
      <c r="B369" s="653" t="s">
        <v>762</v>
      </c>
      <c r="C369" s="762"/>
      <c r="D369" s="409">
        <v>500</v>
      </c>
      <c r="E369" s="409">
        <f>F369/D369</f>
        <v>200</v>
      </c>
      <c r="F369" s="354">
        <v>100000</v>
      </c>
      <c r="G369" s="191"/>
      <c r="H369" s="277"/>
      <c r="I369" s="277"/>
      <c r="J369" s="191"/>
    </row>
    <row r="370" spans="1:10" ht="15.75">
      <c r="A370" s="263">
        <v>5</v>
      </c>
      <c r="B370" s="649" t="s">
        <v>945</v>
      </c>
      <c r="C370" s="651"/>
      <c r="D370" s="205"/>
      <c r="E370" s="205"/>
      <c r="F370" s="373">
        <v>1555471.18</v>
      </c>
      <c r="G370" s="191"/>
      <c r="H370" s="277"/>
      <c r="I370" s="277"/>
      <c r="J370" s="191"/>
    </row>
    <row r="371" spans="1:10" ht="15.75">
      <c r="A371" s="263">
        <v>6</v>
      </c>
      <c r="B371" s="649" t="s">
        <v>946</v>
      </c>
      <c r="C371" s="760"/>
      <c r="D371" s="205"/>
      <c r="E371" s="205"/>
      <c r="F371" s="373">
        <v>117685.77</v>
      </c>
      <c r="G371" s="191"/>
      <c r="H371" s="277"/>
      <c r="I371" s="277"/>
      <c r="J371" s="191"/>
    </row>
    <row r="372" spans="1:10" ht="15.75">
      <c r="A372" s="263">
        <v>7</v>
      </c>
      <c r="B372" s="649" t="s">
        <v>947</v>
      </c>
      <c r="C372" s="760"/>
      <c r="D372" s="205"/>
      <c r="E372" s="205"/>
      <c r="F372" s="373">
        <v>2872908.35</v>
      </c>
      <c r="G372" s="191"/>
      <c r="H372" s="277"/>
      <c r="I372" s="277"/>
      <c r="J372" s="191"/>
    </row>
    <row r="373" spans="1:10" ht="15.75">
      <c r="A373" s="263">
        <v>8</v>
      </c>
      <c r="B373" s="649" t="s">
        <v>849</v>
      </c>
      <c r="C373" s="760"/>
      <c r="D373" s="205"/>
      <c r="E373" s="205"/>
      <c r="F373" s="373">
        <v>100000</v>
      </c>
      <c r="G373" s="191"/>
      <c r="H373" s="277"/>
      <c r="I373" s="277"/>
      <c r="J373" s="191"/>
    </row>
    <row r="374" spans="1:10" ht="15.75">
      <c r="A374" s="263">
        <v>9</v>
      </c>
      <c r="B374" s="649" t="s">
        <v>948</v>
      </c>
      <c r="C374" s="651"/>
      <c r="D374" s="205"/>
      <c r="E374" s="205"/>
      <c r="F374" s="373">
        <v>20000</v>
      </c>
      <c r="G374" s="191"/>
      <c r="H374" s="277"/>
      <c r="I374" s="277"/>
      <c r="J374" s="191"/>
    </row>
    <row r="375" spans="1:10" ht="15.75">
      <c r="A375" s="263">
        <v>10</v>
      </c>
      <c r="B375" s="649" t="s">
        <v>920</v>
      </c>
      <c r="C375" s="651"/>
      <c r="D375" s="205"/>
      <c r="E375" s="205"/>
      <c r="F375" s="373">
        <v>10000</v>
      </c>
      <c r="G375" s="191"/>
      <c r="H375" s="277"/>
      <c r="I375" s="277"/>
      <c r="J375" s="191"/>
    </row>
    <row r="376" spans="1:10" ht="15.75">
      <c r="A376" s="263">
        <v>11</v>
      </c>
      <c r="B376" s="649" t="s">
        <v>949</v>
      </c>
      <c r="C376" s="651"/>
      <c r="D376" s="205"/>
      <c r="E376" s="205"/>
      <c r="F376" s="373">
        <v>45000</v>
      </c>
      <c r="G376" s="191"/>
      <c r="H376" s="277"/>
      <c r="I376" s="277"/>
      <c r="J376" s="191"/>
    </row>
    <row r="377" spans="1:10" ht="15.75">
      <c r="A377" s="263"/>
      <c r="B377" s="549"/>
      <c r="C377" s="547"/>
      <c r="D377" s="409"/>
      <c r="E377" s="409"/>
      <c r="F377" s="354"/>
      <c r="G377" s="191"/>
      <c r="H377" s="277"/>
      <c r="I377" s="277"/>
      <c r="J377" s="191"/>
    </row>
    <row r="378" spans="1:10" ht="15.75">
      <c r="A378" s="263"/>
      <c r="B378" s="549"/>
      <c r="C378" s="547"/>
      <c r="D378" s="409"/>
      <c r="E378" s="409"/>
      <c r="F378" s="354"/>
      <c r="G378" s="191"/>
      <c r="H378" s="277"/>
      <c r="I378" s="277"/>
      <c r="J378" s="191"/>
    </row>
    <row r="379" spans="1:256" s="193" customFormat="1" ht="15.75">
      <c r="A379" s="678" t="s">
        <v>571</v>
      </c>
      <c r="B379" s="679"/>
      <c r="C379" s="680"/>
      <c r="D379" s="314"/>
      <c r="E379" s="314" t="s">
        <v>562</v>
      </c>
      <c r="F379" s="373">
        <f>SUM(F366:F376)</f>
        <v>5021065.3</v>
      </c>
      <c r="G379" s="222"/>
      <c r="H379" s="222"/>
      <c r="I379" s="222"/>
      <c r="J379" s="222"/>
      <c r="IV379" s="402">
        <f>SUM(F379:IU379)</f>
        <v>5021065.3</v>
      </c>
    </row>
    <row r="380" spans="1:256" s="193" customFormat="1" ht="15.75">
      <c r="A380" s="532"/>
      <c r="B380" s="532"/>
      <c r="C380" s="532"/>
      <c r="D380" s="514"/>
      <c r="E380" s="514"/>
      <c r="F380" s="540"/>
      <c r="G380" s="222"/>
      <c r="H380" s="222"/>
      <c r="I380" s="222"/>
      <c r="J380" s="222"/>
      <c r="IV380" s="402"/>
    </row>
    <row r="381" spans="1:4" ht="15.75" hidden="1">
      <c r="A381" s="193"/>
      <c r="B381" s="193" t="s">
        <v>917</v>
      </c>
      <c r="C381" s="193"/>
      <c r="D381" s="193"/>
    </row>
    <row r="382" ht="15.75" hidden="1">
      <c r="B382" s="185"/>
    </row>
    <row r="383" spans="1:10" ht="31.5" hidden="1">
      <c r="A383" s="670" t="s">
        <v>545</v>
      </c>
      <c r="B383" s="670" t="s">
        <v>566</v>
      </c>
      <c r="C383" s="672"/>
      <c r="D383" s="674" t="s">
        <v>651</v>
      </c>
      <c r="E383" s="676" t="s">
        <v>681</v>
      </c>
      <c r="F383" s="226" t="s">
        <v>744</v>
      </c>
      <c r="G383" s="352"/>
      <c r="H383" s="352"/>
      <c r="I383" s="308"/>
      <c r="J383" s="225"/>
    </row>
    <row r="384" spans="1:10" ht="31.5" hidden="1">
      <c r="A384" s="671"/>
      <c r="B384" s="671"/>
      <c r="C384" s="673"/>
      <c r="D384" s="675"/>
      <c r="E384" s="677"/>
      <c r="F384" s="226" t="s">
        <v>745</v>
      </c>
      <c r="G384" s="352"/>
      <c r="H384" s="352"/>
      <c r="I384" s="191"/>
      <c r="J384" s="227"/>
    </row>
    <row r="385" spans="1:10" ht="15.75" hidden="1">
      <c r="A385" s="231">
        <v>1</v>
      </c>
      <c r="B385" s="653">
        <v>2</v>
      </c>
      <c r="C385" s="654"/>
      <c r="D385" s="231">
        <v>3</v>
      </c>
      <c r="E385" s="231">
        <v>4</v>
      </c>
      <c r="F385" s="231">
        <v>5</v>
      </c>
      <c r="G385" s="277"/>
      <c r="H385" s="277"/>
      <c r="I385" s="277"/>
      <c r="J385" s="277"/>
    </row>
    <row r="386" spans="1:10" ht="15.75" hidden="1">
      <c r="A386" s="205">
        <v>1</v>
      </c>
      <c r="B386" s="649" t="s">
        <v>945</v>
      </c>
      <c r="C386" s="651"/>
      <c r="D386" s="205"/>
      <c r="E386" s="205"/>
      <c r="F386" s="264"/>
      <c r="G386" s="277"/>
      <c r="H386" s="277"/>
      <c r="I386" s="277"/>
      <c r="J386" s="191"/>
    </row>
    <row r="387" spans="1:10" ht="15.75" hidden="1">
      <c r="A387" s="205">
        <v>2</v>
      </c>
      <c r="B387" s="649" t="s">
        <v>946</v>
      </c>
      <c r="C387" s="760"/>
      <c r="D387" s="205"/>
      <c r="E387" s="205"/>
      <c r="F387" s="264"/>
      <c r="G387" s="277"/>
      <c r="H387" s="277"/>
      <c r="I387" s="277"/>
      <c r="J387" s="191"/>
    </row>
    <row r="388" spans="1:10" ht="15.75" hidden="1">
      <c r="A388" s="205">
        <v>3</v>
      </c>
      <c r="B388" s="649" t="s">
        <v>947</v>
      </c>
      <c r="C388" s="760"/>
      <c r="D388" s="205"/>
      <c r="E388" s="205"/>
      <c r="F388" s="264"/>
      <c r="G388" s="277"/>
      <c r="H388" s="277"/>
      <c r="I388" s="277"/>
      <c r="J388" s="191"/>
    </row>
    <row r="389" spans="1:10" ht="15.75" hidden="1">
      <c r="A389" s="205">
        <v>4</v>
      </c>
      <c r="B389" s="649" t="s">
        <v>849</v>
      </c>
      <c r="C389" s="760"/>
      <c r="D389" s="205"/>
      <c r="E389" s="205"/>
      <c r="F389" s="264"/>
      <c r="G389" s="277"/>
      <c r="H389" s="277"/>
      <c r="I389" s="277"/>
      <c r="J389" s="191"/>
    </row>
    <row r="390" spans="1:10" ht="15.75" hidden="1">
      <c r="A390" s="205">
        <v>5</v>
      </c>
      <c r="B390" s="649" t="s">
        <v>948</v>
      </c>
      <c r="C390" s="651"/>
      <c r="D390" s="205"/>
      <c r="E390" s="205"/>
      <c r="F390" s="264"/>
      <c r="G390" s="277"/>
      <c r="H390" s="277"/>
      <c r="I390" s="277"/>
      <c r="J390" s="191"/>
    </row>
    <row r="391" spans="1:10" ht="15.75" hidden="1">
      <c r="A391" s="205">
        <v>6</v>
      </c>
      <c r="B391" s="649" t="s">
        <v>920</v>
      </c>
      <c r="C391" s="651"/>
      <c r="D391" s="205"/>
      <c r="E391" s="205"/>
      <c r="F391" s="264"/>
      <c r="G391" s="277"/>
      <c r="H391" s="277"/>
      <c r="I391" s="277"/>
      <c r="J391" s="191"/>
    </row>
    <row r="392" spans="1:10" ht="15.75" hidden="1">
      <c r="A392" s="205">
        <v>6</v>
      </c>
      <c r="B392" s="649" t="s">
        <v>949</v>
      </c>
      <c r="C392" s="651"/>
      <c r="D392" s="205"/>
      <c r="E392" s="205"/>
      <c r="F392" s="264"/>
      <c r="G392" s="191"/>
      <c r="H392" s="277"/>
      <c r="I392" s="277"/>
      <c r="J392" s="191"/>
    </row>
    <row r="393" spans="1:10" ht="15.75" hidden="1">
      <c r="A393" s="649" t="s">
        <v>571</v>
      </c>
      <c r="B393" s="650"/>
      <c r="C393" s="651"/>
      <c r="D393" s="199"/>
      <c r="E393" s="199" t="s">
        <v>562</v>
      </c>
      <c r="F393" s="373">
        <f>SUM(F386:F392)</f>
        <v>0</v>
      </c>
      <c r="G393" s="191"/>
      <c r="H393" s="191"/>
      <c r="I393" s="191"/>
      <c r="J393" s="191"/>
    </row>
    <row r="394" spans="1:256" s="193" customFormat="1" ht="15.75">
      <c r="A394" s="532"/>
      <c r="B394" s="532"/>
      <c r="C394" s="532"/>
      <c r="D394" s="514"/>
      <c r="E394" s="514"/>
      <c r="F394" s="540"/>
      <c r="G394" s="222"/>
      <c r="H394" s="222"/>
      <c r="I394" s="222"/>
      <c r="J394" s="222"/>
      <c r="IV394" s="402"/>
    </row>
    <row r="395" spans="1:256" s="193" customFormat="1" ht="15.75">
      <c r="A395" s="532"/>
      <c r="B395" s="532"/>
      <c r="C395" s="532"/>
      <c r="D395" s="514"/>
      <c r="E395" s="514"/>
      <c r="F395" s="540"/>
      <c r="G395" s="222"/>
      <c r="H395" s="222"/>
      <c r="I395" s="222"/>
      <c r="J395" s="222"/>
      <c r="IV395" s="402"/>
    </row>
    <row r="396" spans="1:11" ht="135" customHeight="1">
      <c r="A396" s="669" t="s">
        <v>692</v>
      </c>
      <c r="B396" s="669"/>
      <c r="C396" s="669"/>
      <c r="D396" s="669"/>
      <c r="E396" s="669"/>
      <c r="F396" s="669"/>
      <c r="G396" s="669"/>
      <c r="H396" s="669"/>
      <c r="I396" s="669"/>
      <c r="J396" s="669"/>
      <c r="K396" s="669"/>
    </row>
    <row r="397" ht="15.75">
      <c r="B397" s="185"/>
    </row>
    <row r="398" spans="1:4" ht="15.75">
      <c r="A398" s="193"/>
      <c r="B398" s="193" t="s">
        <v>693</v>
      </c>
      <c r="C398" s="193"/>
      <c r="D398" s="193"/>
    </row>
    <row r="399" ht="15.75">
      <c r="B399" s="185"/>
    </row>
    <row r="400" spans="1:10" ht="48" customHeight="1">
      <c r="A400" s="670" t="s">
        <v>545</v>
      </c>
      <c r="B400" s="670" t="s">
        <v>566</v>
      </c>
      <c r="C400" s="672"/>
      <c r="D400" s="674" t="s">
        <v>651</v>
      </c>
      <c r="E400" s="676" t="s">
        <v>681</v>
      </c>
      <c r="F400" s="226" t="s">
        <v>744</v>
      </c>
      <c r="G400" s="352"/>
      <c r="H400" s="352"/>
      <c r="I400" s="308"/>
      <c r="J400" s="225"/>
    </row>
    <row r="401" spans="1:10" ht="49.5" customHeight="1">
      <c r="A401" s="671"/>
      <c r="B401" s="671"/>
      <c r="C401" s="673"/>
      <c r="D401" s="675"/>
      <c r="E401" s="677"/>
      <c r="F401" s="226" t="s">
        <v>746</v>
      </c>
      <c r="G401" s="352"/>
      <c r="H401" s="352"/>
      <c r="I401" s="191"/>
      <c r="J401" s="227"/>
    </row>
    <row r="402" spans="1:10" ht="15.75" customHeight="1">
      <c r="A402" s="231">
        <v>1</v>
      </c>
      <c r="B402" s="653">
        <v>2</v>
      </c>
      <c r="C402" s="654"/>
      <c r="D402" s="231">
        <v>3</v>
      </c>
      <c r="E402" s="231">
        <v>4</v>
      </c>
      <c r="F402" s="231">
        <v>5</v>
      </c>
      <c r="G402" s="277"/>
      <c r="H402" s="277"/>
      <c r="I402" s="277"/>
      <c r="J402" s="277"/>
    </row>
    <row r="403" spans="1:10" ht="15.75" customHeight="1">
      <c r="A403" s="231">
        <v>1</v>
      </c>
      <c r="B403" s="232"/>
      <c r="C403" s="309"/>
      <c r="D403" s="231"/>
      <c r="E403" s="231"/>
      <c r="F403" s="354"/>
      <c r="G403" s="277"/>
      <c r="H403" s="277"/>
      <c r="I403" s="277"/>
      <c r="J403" s="277"/>
    </row>
    <row r="404" spans="1:10" ht="15.75">
      <c r="A404" s="205"/>
      <c r="B404" s="666"/>
      <c r="C404" s="667"/>
      <c r="D404" s="205"/>
      <c r="E404" s="205"/>
      <c r="F404" s="354"/>
      <c r="G404" s="277"/>
      <c r="H404" s="277"/>
      <c r="I404" s="277"/>
      <c r="J404" s="191"/>
    </row>
    <row r="405" spans="1:10" ht="15.75">
      <c r="A405" s="205"/>
      <c r="B405" s="666"/>
      <c r="C405" s="667"/>
      <c r="D405" s="205"/>
      <c r="E405" s="205"/>
      <c r="F405" s="354"/>
      <c r="G405" s="191"/>
      <c r="H405" s="277"/>
      <c r="I405" s="277"/>
      <c r="J405" s="191"/>
    </row>
    <row r="406" spans="1:10" s="193" customFormat="1" ht="15.75">
      <c r="A406" s="678" t="s">
        <v>571</v>
      </c>
      <c r="B406" s="679"/>
      <c r="C406" s="680"/>
      <c r="D406" s="314"/>
      <c r="E406" s="314" t="s">
        <v>562</v>
      </c>
      <c r="F406" s="373">
        <f>SUM(F403:F405)</f>
        <v>0</v>
      </c>
      <c r="G406" s="222"/>
      <c r="H406" s="222"/>
      <c r="I406" s="222"/>
      <c r="J406" s="222"/>
    </row>
    <row r="409" spans="1:4" ht="18.75">
      <c r="A409" s="315" t="s">
        <v>694</v>
      </c>
      <c r="B409" s="315"/>
      <c r="C409" s="315"/>
      <c r="D409" s="316"/>
    </row>
    <row r="410" spans="1:4" ht="15.75">
      <c r="A410" s="318"/>
      <c r="B410" s="319"/>
      <c r="C410" s="319"/>
      <c r="D410" s="320"/>
    </row>
    <row r="411" spans="1:4" ht="31.5">
      <c r="A411" s="321" t="s">
        <v>545</v>
      </c>
      <c r="B411" s="668" t="s">
        <v>695</v>
      </c>
      <c r="C411" s="668"/>
      <c r="D411" s="322" t="s">
        <v>696</v>
      </c>
    </row>
    <row r="412" spans="1:4" ht="15.75">
      <c r="A412" s="324">
        <v>1</v>
      </c>
      <c r="B412" s="661" t="s">
        <v>718</v>
      </c>
      <c r="C412" s="661"/>
      <c r="D412" s="379">
        <f>J26+F55+F64+F94+G128+G150+E179+E194+F211+E222+F234+E255+E280+D319+F348+F379+F406+E282+F393+F359+D331+E294+F244+G164+F112+J45</f>
        <v>18701125.242</v>
      </c>
    </row>
    <row r="415" spans="1:5" ht="15.75">
      <c r="A415" s="185" t="s">
        <v>699</v>
      </c>
      <c r="C415" s="185" t="s">
        <v>700</v>
      </c>
      <c r="E415" s="185" t="s">
        <v>701</v>
      </c>
    </row>
    <row r="417" spans="1:3" ht="15.75">
      <c r="A417" s="185" t="s">
        <v>13</v>
      </c>
      <c r="C417" s="185" t="s">
        <v>700</v>
      </c>
    </row>
  </sheetData>
  <sheetProtection/>
  <mergeCells count="258">
    <mergeCell ref="B92:D92"/>
    <mergeCell ref="B86:D86"/>
    <mergeCell ref="B87:D87"/>
    <mergeCell ref="B88:D88"/>
    <mergeCell ref="B89:D89"/>
    <mergeCell ref="B90:D90"/>
    <mergeCell ref="B91:D91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8:K28"/>
    <mergeCell ref="A36:A38"/>
    <mergeCell ref="B36:B38"/>
    <mergeCell ref="C36:C38"/>
    <mergeCell ref="D36:G36"/>
    <mergeCell ref="H36:H38"/>
    <mergeCell ref="I36:I38"/>
    <mergeCell ref="J36:J38"/>
    <mergeCell ref="K36:K38"/>
    <mergeCell ref="E37:G37"/>
    <mergeCell ref="A45:B45"/>
    <mergeCell ref="A46:K46"/>
    <mergeCell ref="B47:K47"/>
    <mergeCell ref="B48:I48"/>
    <mergeCell ref="A50:A51"/>
    <mergeCell ref="B50:B51"/>
    <mergeCell ref="C50:C51"/>
    <mergeCell ref="D50:D51"/>
    <mergeCell ref="E50:E51"/>
    <mergeCell ref="A55:B55"/>
    <mergeCell ref="B57:F57"/>
    <mergeCell ref="A59:A60"/>
    <mergeCell ref="B59:B60"/>
    <mergeCell ref="C59:C60"/>
    <mergeCell ref="D59:D60"/>
    <mergeCell ref="E59:E60"/>
    <mergeCell ref="A64:B64"/>
    <mergeCell ref="B66:I66"/>
    <mergeCell ref="A68:A69"/>
    <mergeCell ref="B68:D69"/>
    <mergeCell ref="E68:E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A94:D94"/>
    <mergeCell ref="B82:D82"/>
    <mergeCell ref="B83:D83"/>
    <mergeCell ref="B84:D84"/>
    <mergeCell ref="B85:D85"/>
    <mergeCell ref="B96:I96"/>
    <mergeCell ref="A98:A99"/>
    <mergeCell ref="B98:D99"/>
    <mergeCell ref="E98:E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A112:D112"/>
    <mergeCell ref="A115:K115"/>
    <mergeCell ref="B116:F116"/>
    <mergeCell ref="A117:K117"/>
    <mergeCell ref="A123:A124"/>
    <mergeCell ref="B123:D124"/>
    <mergeCell ref="E123:E124"/>
    <mergeCell ref="F123:F124"/>
    <mergeCell ref="B125:D125"/>
    <mergeCell ref="B126:D126"/>
    <mergeCell ref="B127:D127"/>
    <mergeCell ref="A128:D128"/>
    <mergeCell ref="A130:K130"/>
    <mergeCell ref="A132:K132"/>
    <mergeCell ref="A138:A139"/>
    <mergeCell ref="B138:C139"/>
    <mergeCell ref="D138:D139"/>
    <mergeCell ref="E138:E139"/>
    <mergeCell ref="F138:G138"/>
    <mergeCell ref="B140:C140"/>
    <mergeCell ref="B141:C141"/>
    <mergeCell ref="B142:C142"/>
    <mergeCell ref="B143:C143"/>
    <mergeCell ref="B144:C144"/>
    <mergeCell ref="B145:C145"/>
    <mergeCell ref="B146:C146"/>
    <mergeCell ref="A150:C150"/>
    <mergeCell ref="A152:K152"/>
    <mergeCell ref="A158:A159"/>
    <mergeCell ref="B158:C159"/>
    <mergeCell ref="D158:D159"/>
    <mergeCell ref="E158:E159"/>
    <mergeCell ref="F158:G158"/>
    <mergeCell ref="B160:C160"/>
    <mergeCell ref="B161:C161"/>
    <mergeCell ref="B162:C162"/>
    <mergeCell ref="B163:C163"/>
    <mergeCell ref="A164:C164"/>
    <mergeCell ref="A166:K166"/>
    <mergeCell ref="A168:K168"/>
    <mergeCell ref="A169:E169"/>
    <mergeCell ref="A174:A175"/>
    <mergeCell ref="B174:B175"/>
    <mergeCell ref="C174:C175"/>
    <mergeCell ref="D174:D175"/>
    <mergeCell ref="A179:B179"/>
    <mergeCell ref="A181:K181"/>
    <mergeCell ref="A183:K183"/>
    <mergeCell ref="A189:A190"/>
    <mergeCell ref="B189:B190"/>
    <mergeCell ref="C189:C190"/>
    <mergeCell ref="D189:D190"/>
    <mergeCell ref="A194:B194"/>
    <mergeCell ref="A196:K196"/>
    <mergeCell ref="A198:K198"/>
    <mergeCell ref="A206:A207"/>
    <mergeCell ref="B206:B207"/>
    <mergeCell ref="C206:C207"/>
    <mergeCell ref="D206:D207"/>
    <mergeCell ref="E206:E207"/>
    <mergeCell ref="A211:B211"/>
    <mergeCell ref="A213:K213"/>
    <mergeCell ref="A217:A218"/>
    <mergeCell ref="B217:B218"/>
    <mergeCell ref="C217:C218"/>
    <mergeCell ref="D217:D218"/>
    <mergeCell ref="A222:B222"/>
    <mergeCell ref="A224:K224"/>
    <mergeCell ref="A228:A229"/>
    <mergeCell ref="B228:B229"/>
    <mergeCell ref="C228:C229"/>
    <mergeCell ref="D228:D229"/>
    <mergeCell ref="E228:E229"/>
    <mergeCell ref="A234:B234"/>
    <mergeCell ref="A238:A239"/>
    <mergeCell ref="B238:B239"/>
    <mergeCell ref="C238:C239"/>
    <mergeCell ref="D238:D239"/>
    <mergeCell ref="E238:E239"/>
    <mergeCell ref="A244:B244"/>
    <mergeCell ref="A246:K246"/>
    <mergeCell ref="A250:A251"/>
    <mergeCell ref="B250:B251"/>
    <mergeCell ref="C250:C251"/>
    <mergeCell ref="D250:D251"/>
    <mergeCell ref="A255:B255"/>
    <mergeCell ref="A256:K256"/>
    <mergeCell ref="A260:A261"/>
    <mergeCell ref="B260:B261"/>
    <mergeCell ref="C260:C261"/>
    <mergeCell ref="D260:D261"/>
    <mergeCell ref="A280:B280"/>
    <mergeCell ref="A282:B282"/>
    <mergeCell ref="A286:A287"/>
    <mergeCell ref="B286:B287"/>
    <mergeCell ref="C286:C287"/>
    <mergeCell ref="D286:D287"/>
    <mergeCell ref="A294:B294"/>
    <mergeCell ref="A297:K297"/>
    <mergeCell ref="A301:A302"/>
    <mergeCell ref="B301:B302"/>
    <mergeCell ref="C301:C302"/>
    <mergeCell ref="A319:B319"/>
    <mergeCell ref="A323:A324"/>
    <mergeCell ref="B323:B324"/>
    <mergeCell ref="C323:C324"/>
    <mergeCell ref="A331:B331"/>
    <mergeCell ref="A333:K333"/>
    <mergeCell ref="A337:A338"/>
    <mergeCell ref="B337:C338"/>
    <mergeCell ref="D337:D338"/>
    <mergeCell ref="E337:E338"/>
    <mergeCell ref="B339:C339"/>
    <mergeCell ref="B340:C340"/>
    <mergeCell ref="B341:C341"/>
    <mergeCell ref="B347:C347"/>
    <mergeCell ref="A348:C348"/>
    <mergeCell ref="A352:A353"/>
    <mergeCell ref="B352:C353"/>
    <mergeCell ref="D352:D353"/>
    <mergeCell ref="E352:E353"/>
    <mergeCell ref="B354:C354"/>
    <mergeCell ref="B355:C355"/>
    <mergeCell ref="B356:C356"/>
    <mergeCell ref="B357:C357"/>
    <mergeCell ref="B358:C358"/>
    <mergeCell ref="A359:C359"/>
    <mergeCell ref="A363:A364"/>
    <mergeCell ref="B363:C364"/>
    <mergeCell ref="D363:D364"/>
    <mergeCell ref="E363:E364"/>
    <mergeCell ref="B366:C366"/>
    <mergeCell ref="B367:C367"/>
    <mergeCell ref="B368:C368"/>
    <mergeCell ref="B369:C369"/>
    <mergeCell ref="A379:C379"/>
    <mergeCell ref="B370:C370"/>
    <mergeCell ref="B371:C371"/>
    <mergeCell ref="B372:C372"/>
    <mergeCell ref="B373:C373"/>
    <mergeCell ref="A383:A384"/>
    <mergeCell ref="B383:C384"/>
    <mergeCell ref="D383:D384"/>
    <mergeCell ref="E383:E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A393:C393"/>
    <mergeCell ref="A396:K396"/>
    <mergeCell ref="A400:A401"/>
    <mergeCell ref="B400:C401"/>
    <mergeCell ref="D400:D401"/>
    <mergeCell ref="E400:E401"/>
    <mergeCell ref="B402:C402"/>
    <mergeCell ref="B404:C404"/>
    <mergeCell ref="B405:C405"/>
    <mergeCell ref="A406:C406"/>
    <mergeCell ref="B411:C411"/>
    <mergeCell ref="B412:C412"/>
    <mergeCell ref="B147:C147"/>
    <mergeCell ref="B148:C148"/>
    <mergeCell ref="B374:C374"/>
    <mergeCell ref="B375:C375"/>
    <mergeCell ref="B376:C376"/>
    <mergeCell ref="B342:C342"/>
    <mergeCell ref="B343:C343"/>
    <mergeCell ref="B344:C344"/>
    <mergeCell ref="B345:C345"/>
    <mergeCell ref="B365:C3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rowBreaks count="10" manualBreakCount="10">
    <brk id="45" max="10" man="1"/>
    <brk id="65" max="10" man="1"/>
    <brk id="115" max="10" man="1"/>
    <brk id="167" max="255" man="1"/>
    <brk id="197" max="255" man="1"/>
    <brk id="225" max="255" man="1"/>
    <brk id="247" max="10" man="1"/>
    <brk id="296" max="10" man="1"/>
    <brk id="320" max="10" man="1"/>
    <brk id="3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view="pageBreakPreview" zoomScale="70" zoomScaleNormal="70" zoomScaleSheetLayoutView="70" zoomScalePageLayoutView="0" workbookViewId="0" topLeftCell="A62">
      <selection activeCell="A62" sqref="A1:F16384"/>
    </sheetView>
  </sheetViews>
  <sheetFormatPr defaultColWidth="9.140625" defaultRowHeight="15"/>
  <cols>
    <col min="1" max="1" width="15.8515625" style="0" customWidth="1"/>
    <col min="2" max="2" width="31.57421875" style="0" bestFit="1" customWidth="1"/>
    <col min="3" max="3" width="22.140625" style="0" bestFit="1" customWidth="1"/>
    <col min="4" max="4" width="20.7109375" style="0" bestFit="1" customWidth="1"/>
    <col min="5" max="5" width="21.8515625" style="0" customWidth="1"/>
    <col min="7" max="7" width="12.421875" style="0" bestFit="1" customWidth="1"/>
    <col min="8" max="8" width="10.7109375" style="0" bestFit="1" customWidth="1"/>
  </cols>
  <sheetData>
    <row r="1" spans="1:5" ht="18.75">
      <c r="A1" s="770" t="s">
        <v>768</v>
      </c>
      <c r="B1" s="770"/>
      <c r="C1" s="770"/>
      <c r="D1" s="770"/>
      <c r="E1" s="770"/>
    </row>
    <row r="2" spans="1:5" ht="18.75">
      <c r="A2" s="771" t="s">
        <v>852</v>
      </c>
      <c r="B2" s="771"/>
      <c r="C2" s="771"/>
      <c r="D2" s="771"/>
      <c r="E2" s="771"/>
    </row>
    <row r="3" spans="1:5" ht="18.75">
      <c r="A3" s="410"/>
      <c r="B3" s="410"/>
      <c r="C3" s="410"/>
      <c r="D3" s="410"/>
      <c r="E3" s="411"/>
    </row>
    <row r="4" spans="1:5" ht="36.75" customHeight="1">
      <c r="A4" s="772" t="s">
        <v>785</v>
      </c>
      <c r="B4" s="772"/>
      <c r="C4" s="772"/>
      <c r="D4" s="772"/>
      <c r="E4" s="772"/>
    </row>
    <row r="5" spans="1:5" ht="16.5">
      <c r="A5" s="412"/>
      <c r="B5" s="412"/>
      <c r="C5" s="412"/>
      <c r="D5" s="412"/>
      <c r="E5" s="413"/>
    </row>
    <row r="6" spans="1:5" ht="16.5">
      <c r="A6" s="412"/>
      <c r="B6" s="412"/>
      <c r="C6" s="412"/>
      <c r="D6" s="412"/>
      <c r="E6" s="413"/>
    </row>
    <row r="7" spans="1:5" ht="18.75">
      <c r="A7" s="773" t="s">
        <v>769</v>
      </c>
      <c r="B7" s="773"/>
      <c r="C7" s="773"/>
      <c r="D7" s="773"/>
      <c r="E7" s="773"/>
    </row>
    <row r="8" spans="1:5" ht="16.5">
      <c r="A8" s="412"/>
      <c r="B8" s="412"/>
      <c r="C8" s="412"/>
      <c r="D8" s="412"/>
      <c r="E8" s="413"/>
    </row>
    <row r="9" spans="1:5" ht="31.5">
      <c r="A9" s="415" t="s">
        <v>164</v>
      </c>
      <c r="B9" s="416" t="s">
        <v>851</v>
      </c>
      <c r="C9" s="416" t="s">
        <v>853</v>
      </c>
      <c r="D9" s="416" t="s">
        <v>770</v>
      </c>
      <c r="E9" s="416" t="s">
        <v>771</v>
      </c>
    </row>
    <row r="10" spans="1:5" ht="31.5">
      <c r="A10" s="417">
        <v>121</v>
      </c>
      <c r="B10" s="418">
        <v>673583.04</v>
      </c>
      <c r="C10" s="418">
        <f>673583.04+62140</f>
        <v>735723.04</v>
      </c>
      <c r="D10" s="418">
        <f aca="true" t="shared" si="0" ref="D10:D23">C10-B10</f>
        <v>62140</v>
      </c>
      <c r="E10" s="419" t="s">
        <v>953</v>
      </c>
    </row>
    <row r="11" spans="1:5" ht="15.75">
      <c r="A11" s="417">
        <v>124</v>
      </c>
      <c r="B11" s="418">
        <v>50000</v>
      </c>
      <c r="C11" s="418">
        <v>50000</v>
      </c>
      <c r="D11" s="418">
        <f t="shared" si="0"/>
        <v>0</v>
      </c>
      <c r="E11" s="419"/>
    </row>
    <row r="12" spans="1:5" ht="63">
      <c r="A12" s="417">
        <v>131</v>
      </c>
      <c r="B12" s="418">
        <v>5661000</v>
      </c>
      <c r="C12" s="418">
        <f>12394000+50000</f>
        <v>12444000</v>
      </c>
      <c r="D12" s="418">
        <f t="shared" si="0"/>
        <v>6783000</v>
      </c>
      <c r="E12" s="419" t="s">
        <v>954</v>
      </c>
    </row>
    <row r="13" spans="1:5" ht="31.5">
      <c r="A13" s="417">
        <v>135</v>
      </c>
      <c r="B13" s="418">
        <v>357000</v>
      </c>
      <c r="C13" s="418">
        <f>357000+7000</f>
        <v>364000</v>
      </c>
      <c r="D13" s="418">
        <f t="shared" si="0"/>
        <v>7000</v>
      </c>
      <c r="E13" s="419" t="s">
        <v>855</v>
      </c>
    </row>
    <row r="14" spans="1:5" ht="15.75">
      <c r="A14" s="420">
        <v>155</v>
      </c>
      <c r="B14" s="418"/>
      <c r="C14" s="418"/>
      <c r="D14" s="418">
        <f t="shared" si="0"/>
        <v>0</v>
      </c>
      <c r="E14" s="419"/>
    </row>
    <row r="15" spans="1:5" ht="31.5">
      <c r="A15" s="417">
        <v>189</v>
      </c>
      <c r="B15" s="418"/>
      <c r="C15" s="418">
        <v>-112140</v>
      </c>
      <c r="D15" s="418">
        <f t="shared" si="0"/>
        <v>-112140</v>
      </c>
      <c r="E15" s="419" t="s">
        <v>953</v>
      </c>
    </row>
    <row r="16" spans="1:5" ht="31.5">
      <c r="A16" s="421" t="s">
        <v>772</v>
      </c>
      <c r="B16" s="422">
        <f>SUM(B10:B15)</f>
        <v>6741583.04</v>
      </c>
      <c r="C16" s="422">
        <f>SUM(C10:C15)</f>
        <v>13481583.04</v>
      </c>
      <c r="D16" s="418">
        <f t="shared" si="0"/>
        <v>6739999.999999999</v>
      </c>
      <c r="E16" s="419" t="s">
        <v>855</v>
      </c>
    </row>
    <row r="17" spans="1:5" ht="31.5">
      <c r="A17" s="421">
        <v>111</v>
      </c>
      <c r="B17" s="423">
        <f>B18+B19</f>
        <v>4495864.74</v>
      </c>
      <c r="C17" s="423">
        <f>C18+C19</f>
        <v>5724164.65</v>
      </c>
      <c r="D17" s="418">
        <f aca="true" t="shared" si="1" ref="D17:D22">C17-B17</f>
        <v>1228299.9100000001</v>
      </c>
      <c r="E17" s="419" t="s">
        <v>855</v>
      </c>
    </row>
    <row r="18" spans="1:5" ht="15.75">
      <c r="A18" s="421" t="s">
        <v>788</v>
      </c>
      <c r="B18" s="423">
        <v>4495864.74</v>
      </c>
      <c r="C18" s="423">
        <v>5716164.65</v>
      </c>
      <c r="D18" s="418">
        <f t="shared" si="1"/>
        <v>1220299.9100000001</v>
      </c>
      <c r="E18" s="419"/>
    </row>
    <row r="19" spans="1:5" ht="31.5">
      <c r="A19" s="421" t="s">
        <v>789</v>
      </c>
      <c r="B19" s="423"/>
      <c r="C19" s="423">
        <v>8000</v>
      </c>
      <c r="D19" s="418">
        <f t="shared" si="1"/>
        <v>8000</v>
      </c>
      <c r="E19" s="419" t="s">
        <v>855</v>
      </c>
    </row>
    <row r="20" spans="1:5" ht="15.75">
      <c r="A20" s="421">
        <v>112</v>
      </c>
      <c r="B20" s="423"/>
      <c r="C20" s="423"/>
      <c r="D20" s="418">
        <f t="shared" si="1"/>
        <v>0</v>
      </c>
      <c r="E20" s="419"/>
    </row>
    <row r="21" spans="1:5" ht="15.75">
      <c r="A21" s="416">
        <v>212</v>
      </c>
      <c r="B21" s="424"/>
      <c r="C21" s="424"/>
      <c r="D21" s="418">
        <f t="shared" si="1"/>
        <v>0</v>
      </c>
      <c r="E21" s="419"/>
    </row>
    <row r="22" spans="1:5" ht="15.75">
      <c r="A22" s="416">
        <v>226</v>
      </c>
      <c r="B22" s="424"/>
      <c r="C22" s="424"/>
      <c r="D22" s="418">
        <f t="shared" si="1"/>
        <v>0</v>
      </c>
      <c r="E22" s="419"/>
    </row>
    <row r="23" spans="1:5" ht="31.5">
      <c r="A23" s="421">
        <v>119</v>
      </c>
      <c r="B23" s="423">
        <v>1357750.96</v>
      </c>
      <c r="C23" s="423">
        <v>1728697.65</v>
      </c>
      <c r="D23" s="418">
        <f t="shared" si="0"/>
        <v>370946.68999999994</v>
      </c>
      <c r="E23" s="419" t="s">
        <v>855</v>
      </c>
    </row>
    <row r="24" spans="1:5" ht="31.5">
      <c r="A24" s="421">
        <v>244</v>
      </c>
      <c r="B24" s="425">
        <f>SUM(B25:B38)</f>
        <v>5024323.24</v>
      </c>
      <c r="C24" s="425">
        <f>SUM(C25:C38)</f>
        <v>10786516.940000001</v>
      </c>
      <c r="D24" s="418">
        <f>C24-B24</f>
        <v>5762193.700000001</v>
      </c>
      <c r="E24" s="419" t="s">
        <v>855</v>
      </c>
    </row>
    <row r="25" spans="1:5" ht="15.75">
      <c r="A25" s="416">
        <v>221</v>
      </c>
      <c r="B25" s="425">
        <v>3500</v>
      </c>
      <c r="C25" s="425">
        <v>3500</v>
      </c>
      <c r="D25" s="418">
        <f aca="true" t="shared" si="2" ref="D25:D45">C25-B25</f>
        <v>0</v>
      </c>
      <c r="E25" s="419"/>
    </row>
    <row r="26" spans="1:5" ht="15.75">
      <c r="A26" s="416">
        <v>222</v>
      </c>
      <c r="B26" s="425">
        <v>11000</v>
      </c>
      <c r="C26" s="425">
        <v>11000</v>
      </c>
      <c r="D26" s="418">
        <f t="shared" si="2"/>
        <v>0</v>
      </c>
      <c r="E26" s="419"/>
    </row>
    <row r="27" spans="1:5" ht="31.5">
      <c r="A27" s="416">
        <v>223</v>
      </c>
      <c r="B27" s="425">
        <f>42537.24+143362.88+108771.27</f>
        <v>294671.39</v>
      </c>
      <c r="C27" s="425">
        <v>404947.39</v>
      </c>
      <c r="D27" s="418">
        <f t="shared" si="2"/>
        <v>110276</v>
      </c>
      <c r="E27" s="419" t="s">
        <v>855</v>
      </c>
    </row>
    <row r="28" spans="1:5" ht="31.5">
      <c r="A28" s="416">
        <v>225</v>
      </c>
      <c r="B28" s="425">
        <v>2092627.16</v>
      </c>
      <c r="C28" s="425">
        <f>2092627.16+467852.4</f>
        <v>2560479.56</v>
      </c>
      <c r="D28" s="418">
        <f t="shared" si="2"/>
        <v>467852.40000000014</v>
      </c>
      <c r="E28" s="419" t="s">
        <v>855</v>
      </c>
    </row>
    <row r="29" spans="1:5" ht="31.5">
      <c r="A29" s="416">
        <v>226</v>
      </c>
      <c r="B29" s="425">
        <v>1518276.69</v>
      </c>
      <c r="C29" s="425">
        <f>1518276.69+193000</f>
        <v>1711276.69</v>
      </c>
      <c r="D29" s="418">
        <f t="shared" si="2"/>
        <v>193000</v>
      </c>
      <c r="E29" s="419" t="s">
        <v>855</v>
      </c>
    </row>
    <row r="30" spans="1:5" ht="15.75">
      <c r="A30" s="416">
        <v>228</v>
      </c>
      <c r="B30" s="425">
        <v>500000</v>
      </c>
      <c r="C30" s="425">
        <v>500000</v>
      </c>
      <c r="D30" s="418">
        <f t="shared" si="2"/>
        <v>0</v>
      </c>
      <c r="E30" s="426"/>
    </row>
    <row r="31" spans="1:5" ht="31.5">
      <c r="A31" s="416">
        <v>310</v>
      </c>
      <c r="B31" s="425">
        <v>304248</v>
      </c>
      <c r="C31" s="425">
        <f>304248+270000</f>
        <v>574248</v>
      </c>
      <c r="D31" s="418">
        <f t="shared" si="2"/>
        <v>270000</v>
      </c>
      <c r="E31" s="419" t="s">
        <v>855</v>
      </c>
    </row>
    <row r="32" spans="1:5" ht="15.75">
      <c r="A32" s="416">
        <v>341</v>
      </c>
      <c r="B32" s="425">
        <v>50000</v>
      </c>
      <c r="C32" s="425">
        <v>50000</v>
      </c>
      <c r="D32" s="418">
        <f t="shared" si="2"/>
        <v>0</v>
      </c>
      <c r="E32" s="419"/>
    </row>
    <row r="33" spans="1:5" ht="31.5">
      <c r="A33" s="416">
        <v>342</v>
      </c>
      <c r="B33" s="425"/>
      <c r="C33" s="425">
        <v>4546065.3</v>
      </c>
      <c r="D33" s="418">
        <f t="shared" si="2"/>
        <v>4546065.3</v>
      </c>
      <c r="E33" s="419" t="s">
        <v>855</v>
      </c>
    </row>
    <row r="34" spans="1:5" ht="15.75">
      <c r="A34" s="416">
        <v>344</v>
      </c>
      <c r="B34" s="425">
        <v>50000</v>
      </c>
      <c r="C34" s="425">
        <v>50000</v>
      </c>
      <c r="D34" s="418">
        <f t="shared" si="2"/>
        <v>0</v>
      </c>
      <c r="E34" s="426"/>
    </row>
    <row r="35" spans="1:5" ht="31.5">
      <c r="A35" s="416">
        <v>345</v>
      </c>
      <c r="B35" s="425"/>
      <c r="C35" s="425">
        <v>100000</v>
      </c>
      <c r="D35" s="418">
        <f t="shared" si="2"/>
        <v>100000</v>
      </c>
      <c r="E35" s="419" t="s">
        <v>855</v>
      </c>
    </row>
    <row r="36" spans="1:5" ht="31.5">
      <c r="A36" s="416">
        <v>346</v>
      </c>
      <c r="B36" s="425">
        <v>100000</v>
      </c>
      <c r="C36" s="425">
        <v>175000</v>
      </c>
      <c r="D36" s="418">
        <f t="shared" si="2"/>
        <v>75000</v>
      </c>
      <c r="E36" s="419" t="s">
        <v>855</v>
      </c>
    </row>
    <row r="37" spans="1:5" ht="15.75">
      <c r="A37" s="416">
        <v>349</v>
      </c>
      <c r="B37" s="418">
        <v>100000</v>
      </c>
      <c r="C37" s="418">
        <v>100000</v>
      </c>
      <c r="D37" s="418">
        <f t="shared" si="2"/>
        <v>0</v>
      </c>
      <c r="E37" s="419"/>
    </row>
    <row r="38" spans="1:5" ht="42" customHeight="1" hidden="1">
      <c r="A38" s="416">
        <v>297</v>
      </c>
      <c r="B38" s="425"/>
      <c r="C38" s="425"/>
      <c r="D38" s="418">
        <f t="shared" si="2"/>
        <v>0</v>
      </c>
      <c r="E38" s="419"/>
    </row>
    <row r="39" spans="1:5" ht="40.5" customHeight="1" hidden="1">
      <c r="A39" s="421" t="s">
        <v>790</v>
      </c>
      <c r="B39" s="425"/>
      <c r="C39" s="425"/>
      <c r="D39" s="418">
        <f t="shared" si="2"/>
        <v>0</v>
      </c>
      <c r="E39" s="419"/>
    </row>
    <row r="40" spans="1:5" ht="30.75" customHeight="1" hidden="1">
      <c r="A40" s="421"/>
      <c r="B40" s="425"/>
      <c r="C40" s="425"/>
      <c r="D40" s="418">
        <f t="shared" si="2"/>
        <v>0</v>
      </c>
      <c r="E40" s="419"/>
    </row>
    <row r="41" spans="1:5" ht="31.5">
      <c r="A41" s="421" t="s">
        <v>774</v>
      </c>
      <c r="B41" s="425">
        <v>292718</v>
      </c>
      <c r="C41" s="425">
        <f>292718+107028</f>
        <v>399746</v>
      </c>
      <c r="D41" s="418">
        <f t="shared" si="2"/>
        <v>107028</v>
      </c>
      <c r="E41" s="419" t="s">
        <v>855</v>
      </c>
    </row>
    <row r="42" spans="1:5" ht="37.5" customHeight="1">
      <c r="A42" s="421" t="s">
        <v>775</v>
      </c>
      <c r="B42" s="425"/>
      <c r="C42" s="425"/>
      <c r="D42" s="418">
        <f t="shared" si="2"/>
        <v>0</v>
      </c>
      <c r="E42" s="426"/>
    </row>
    <row r="43" spans="1:5" ht="15.75">
      <c r="A43" s="421" t="s">
        <v>791</v>
      </c>
      <c r="B43" s="425">
        <v>3000</v>
      </c>
      <c r="C43" s="425">
        <v>3000</v>
      </c>
      <c r="D43" s="418">
        <f t="shared" si="2"/>
        <v>0</v>
      </c>
      <c r="E43" s="426"/>
    </row>
    <row r="44" spans="1:5" ht="31.5">
      <c r="A44" s="421" t="s">
        <v>856</v>
      </c>
      <c r="B44" s="425"/>
      <c r="C44" s="425">
        <v>30000</v>
      </c>
      <c r="D44" s="418">
        <f t="shared" si="2"/>
        <v>30000</v>
      </c>
      <c r="E44" s="419" t="s">
        <v>855</v>
      </c>
    </row>
    <row r="45" spans="1:5" ht="15.75">
      <c r="A45" s="421" t="s">
        <v>776</v>
      </c>
      <c r="B45" s="425">
        <v>29000</v>
      </c>
      <c r="C45" s="425">
        <v>29000</v>
      </c>
      <c r="D45" s="418">
        <f t="shared" si="2"/>
        <v>0</v>
      </c>
      <c r="E45" s="419"/>
    </row>
    <row r="46" spans="1:5" ht="31.5">
      <c r="A46" s="421" t="s">
        <v>777</v>
      </c>
      <c r="B46" s="427">
        <f>B41+B23+B24+B17+B45+B42+B20+B43</f>
        <v>11202656.940000001</v>
      </c>
      <c r="C46" s="427">
        <f>C41+C23+C24+C17+C45+C42+C20+C43+C44</f>
        <v>18701125.240000002</v>
      </c>
      <c r="D46" s="418">
        <f>C46-B46</f>
        <v>7498468.300000001</v>
      </c>
      <c r="E46" s="419" t="s">
        <v>855</v>
      </c>
    </row>
    <row r="47" spans="1:5" ht="16.5">
      <c r="A47" s="428"/>
      <c r="B47" s="429"/>
      <c r="C47" s="429"/>
      <c r="D47" s="429"/>
      <c r="E47" s="430"/>
    </row>
    <row r="48" spans="1:5" ht="18.75">
      <c r="A48" s="773" t="s">
        <v>778</v>
      </c>
      <c r="B48" s="773"/>
      <c r="C48" s="773"/>
      <c r="D48" s="773"/>
      <c r="E48" s="773"/>
    </row>
    <row r="49" spans="1:5" ht="16.5">
      <c r="A49" s="412"/>
      <c r="B49" s="412"/>
      <c r="C49" s="412"/>
      <c r="D49" s="412"/>
      <c r="E49" s="413"/>
    </row>
    <row r="50" spans="1:5" ht="31.5">
      <c r="A50" s="415" t="s">
        <v>164</v>
      </c>
      <c r="B50" s="416" t="s">
        <v>851</v>
      </c>
      <c r="C50" s="416" t="s">
        <v>853</v>
      </c>
      <c r="D50" s="416" t="s">
        <v>770</v>
      </c>
      <c r="E50" s="416" t="s">
        <v>771</v>
      </c>
    </row>
    <row r="51" spans="1:5" ht="63">
      <c r="A51" s="417">
        <v>131</v>
      </c>
      <c r="B51" s="431">
        <v>30161349.47</v>
      </c>
      <c r="C51" s="431">
        <v>46600575.79</v>
      </c>
      <c r="D51" s="432">
        <f aca="true" t="shared" si="3" ref="D51:D81">C51-B51</f>
        <v>16439226.32</v>
      </c>
      <c r="E51" s="426" t="s">
        <v>858</v>
      </c>
    </row>
    <row r="52" spans="1:5" ht="63">
      <c r="A52" s="421" t="s">
        <v>772</v>
      </c>
      <c r="B52" s="422">
        <f>B51</f>
        <v>30161349.47</v>
      </c>
      <c r="C52" s="422">
        <f>C51</f>
        <v>46600575.79</v>
      </c>
      <c r="D52" s="432">
        <f t="shared" si="3"/>
        <v>16439226.32</v>
      </c>
      <c r="E52" s="426" t="s">
        <v>858</v>
      </c>
    </row>
    <row r="53" spans="1:5" ht="63">
      <c r="A53" s="421">
        <v>111</v>
      </c>
      <c r="B53" s="418">
        <f>B54+B55</f>
        <v>18414274.37</v>
      </c>
      <c r="C53" s="418">
        <f>C54+C55</f>
        <v>28546867.53</v>
      </c>
      <c r="D53" s="432">
        <f t="shared" si="3"/>
        <v>10132593.16</v>
      </c>
      <c r="E53" s="426" t="s">
        <v>858</v>
      </c>
    </row>
    <row r="54" spans="1:8" ht="63">
      <c r="A54" s="416">
        <v>211</v>
      </c>
      <c r="B54" s="418">
        <v>18286841.5</v>
      </c>
      <c r="C54" s="418">
        <f>18286841.5+8164695.17+1951335.52-123437.53</f>
        <v>28279434.66</v>
      </c>
      <c r="D54" s="432">
        <f t="shared" si="3"/>
        <v>9992593.16</v>
      </c>
      <c r="E54" s="426" t="s">
        <v>858</v>
      </c>
      <c r="H54" s="469"/>
    </row>
    <row r="55" spans="1:5" ht="45" customHeight="1">
      <c r="A55" s="416">
        <v>266</v>
      </c>
      <c r="B55" s="418">
        <v>127432.87</v>
      </c>
      <c r="C55" s="418">
        <f>127432.87+140000</f>
        <v>267432.87</v>
      </c>
      <c r="D55" s="432">
        <f t="shared" si="3"/>
        <v>140000</v>
      </c>
      <c r="E55" s="426" t="s">
        <v>859</v>
      </c>
    </row>
    <row r="56" spans="1:5" ht="31.5">
      <c r="A56" s="421" t="s">
        <v>779</v>
      </c>
      <c r="B56" s="418"/>
      <c r="C56" s="418">
        <f>778.3+555</f>
        <v>1333.3</v>
      </c>
      <c r="D56" s="432">
        <f t="shared" si="3"/>
        <v>1333.3</v>
      </c>
      <c r="E56" s="426" t="s">
        <v>859</v>
      </c>
    </row>
    <row r="57" spans="1:5" ht="31.5">
      <c r="A57" s="421" t="s">
        <v>857</v>
      </c>
      <c r="B57" s="418"/>
      <c r="C57" s="418">
        <v>110000</v>
      </c>
      <c r="D57" s="432">
        <f t="shared" si="3"/>
        <v>110000</v>
      </c>
      <c r="E57" s="426" t="s">
        <v>859</v>
      </c>
    </row>
    <row r="58" spans="1:8" ht="63">
      <c r="A58" s="421">
        <v>119</v>
      </c>
      <c r="B58" s="418">
        <v>5522630.18</v>
      </c>
      <c r="C58" s="418">
        <f>5522630.18+2501977.57+595342.46-37278.14</f>
        <v>8582672.07</v>
      </c>
      <c r="D58" s="432">
        <f t="shared" si="3"/>
        <v>3060041.8900000006</v>
      </c>
      <c r="E58" s="426" t="s">
        <v>858</v>
      </c>
      <c r="G58" s="434"/>
      <c r="H58" s="470"/>
    </row>
    <row r="59" spans="1:5" ht="63">
      <c r="A59" s="421">
        <v>244</v>
      </c>
      <c r="B59" s="418">
        <f>SUM(B61:B76)</f>
        <v>6320176.73</v>
      </c>
      <c r="C59" s="418">
        <f>SUM(C61:C76)</f>
        <v>9877211.440000001</v>
      </c>
      <c r="D59" s="432">
        <f t="shared" si="3"/>
        <v>3557034.710000001</v>
      </c>
      <c r="E59" s="426" t="s">
        <v>858</v>
      </c>
    </row>
    <row r="60" spans="1:5" ht="15.75" hidden="1">
      <c r="A60" s="421">
        <v>321</v>
      </c>
      <c r="B60" s="418"/>
      <c r="C60" s="418"/>
      <c r="D60" s="432">
        <f t="shared" si="3"/>
        <v>0</v>
      </c>
      <c r="E60" s="426"/>
    </row>
    <row r="61" spans="1:5" ht="31.5">
      <c r="A61" s="416">
        <v>221</v>
      </c>
      <c r="B61" s="418">
        <f>72000+32000.1</f>
        <v>104000.1</v>
      </c>
      <c r="C61" s="418">
        <f>72000+32000.1+2644.09+45806.4+55800</f>
        <v>208250.59</v>
      </c>
      <c r="D61" s="432">
        <f t="shared" si="3"/>
        <v>104250.48999999999</v>
      </c>
      <c r="E61" s="426" t="s">
        <v>859</v>
      </c>
    </row>
    <row r="62" spans="1:5" ht="31.5">
      <c r="A62" s="416">
        <v>223</v>
      </c>
      <c r="B62" s="418">
        <f>1231409.94+470359.68+125152.92</f>
        <v>1826922.5399999998</v>
      </c>
      <c r="C62" s="418">
        <v>3093486.76</v>
      </c>
      <c r="D62" s="432">
        <f t="shared" si="3"/>
        <v>1266564.22</v>
      </c>
      <c r="E62" s="426" t="s">
        <v>859</v>
      </c>
    </row>
    <row r="63" spans="1:5" ht="63">
      <c r="A63" s="416">
        <v>225</v>
      </c>
      <c r="B63" s="418">
        <f>132945.86+1837882.27</f>
        <v>1970828.13</v>
      </c>
      <c r="C63" s="418">
        <f>132945.86+1837882.27+431000.92+82473.9-5176-23614.26-3750</f>
        <v>2451762.69</v>
      </c>
      <c r="D63" s="432">
        <f t="shared" si="3"/>
        <v>480934.56000000006</v>
      </c>
      <c r="E63" s="426" t="s">
        <v>858</v>
      </c>
    </row>
    <row r="64" spans="1:5" ht="31.5">
      <c r="A64" s="416">
        <v>226</v>
      </c>
      <c r="B64" s="418">
        <f>305456.9+312180</f>
        <v>617636.9</v>
      </c>
      <c r="C64" s="418">
        <f>305456.9+312180+15000+760001.56+146857.44</f>
        <v>1539495.9</v>
      </c>
      <c r="D64" s="432">
        <f t="shared" si="3"/>
        <v>921858.9999999999</v>
      </c>
      <c r="E64" s="426" t="s">
        <v>859</v>
      </c>
    </row>
    <row r="65" spans="1:5" ht="31.5">
      <c r="A65" s="416">
        <v>227</v>
      </c>
      <c r="B65" s="418"/>
      <c r="C65" s="418">
        <v>8000</v>
      </c>
      <c r="D65" s="432">
        <f t="shared" si="3"/>
        <v>8000</v>
      </c>
      <c r="E65" s="426" t="s">
        <v>859</v>
      </c>
    </row>
    <row r="66" spans="1:5" ht="15.75">
      <c r="A66" s="416">
        <v>228</v>
      </c>
      <c r="B66" s="418">
        <v>962846.06</v>
      </c>
      <c r="C66" s="418">
        <v>962846.06</v>
      </c>
      <c r="D66" s="432">
        <f t="shared" si="3"/>
        <v>0</v>
      </c>
      <c r="E66" s="426"/>
    </row>
    <row r="67" spans="1:5" ht="31.5">
      <c r="A67" s="416">
        <v>310</v>
      </c>
      <c r="B67" s="418">
        <f>399789.61+313210.29</f>
        <v>712999.8999999999</v>
      </c>
      <c r="C67" s="418">
        <f>399789.61+313210.29+194337.7+74307.91</f>
        <v>981645.5099999999</v>
      </c>
      <c r="D67" s="432">
        <f t="shared" si="3"/>
        <v>268645.61</v>
      </c>
      <c r="E67" s="426" t="s">
        <v>859</v>
      </c>
    </row>
    <row r="68" spans="1:5" ht="15.75" hidden="1">
      <c r="A68" s="416">
        <v>321</v>
      </c>
      <c r="B68" s="418"/>
      <c r="C68" s="418"/>
      <c r="D68" s="432">
        <f t="shared" si="3"/>
        <v>0</v>
      </c>
      <c r="E68" s="426"/>
    </row>
    <row r="69" spans="1:5" ht="31.5">
      <c r="A69" s="416">
        <v>341</v>
      </c>
      <c r="B69" s="418"/>
      <c r="C69" s="418">
        <v>7000</v>
      </c>
      <c r="D69" s="432">
        <f t="shared" si="3"/>
        <v>7000</v>
      </c>
      <c r="E69" s="426" t="s">
        <v>859</v>
      </c>
    </row>
    <row r="70" spans="1:5" ht="31.5">
      <c r="A70" s="416">
        <v>342</v>
      </c>
      <c r="B70" s="418"/>
      <c r="C70" s="418">
        <v>437421.05</v>
      </c>
      <c r="D70" s="432">
        <f t="shared" si="3"/>
        <v>437421.05</v>
      </c>
      <c r="E70" s="426" t="s">
        <v>859</v>
      </c>
    </row>
    <row r="71" spans="1:5" ht="15.75">
      <c r="A71" s="416">
        <v>344</v>
      </c>
      <c r="B71" s="418"/>
      <c r="C71" s="418"/>
      <c r="D71" s="432">
        <f t="shared" si="3"/>
        <v>0</v>
      </c>
      <c r="E71" s="426"/>
    </row>
    <row r="72" spans="1:5" ht="31.5">
      <c r="A72" s="416">
        <v>346</v>
      </c>
      <c r="B72" s="418">
        <v>124943.1</v>
      </c>
      <c r="C72" s="418">
        <f>124943.1+9346.06+53013.72</f>
        <v>187302.88</v>
      </c>
      <c r="D72" s="432">
        <f t="shared" si="3"/>
        <v>62359.78</v>
      </c>
      <c r="E72" s="426" t="s">
        <v>859</v>
      </c>
    </row>
    <row r="73" spans="1:5" ht="15.75">
      <c r="A73" s="416">
        <v>349</v>
      </c>
      <c r="B73" s="418"/>
      <c r="C73" s="418"/>
      <c r="D73" s="432">
        <f t="shared" si="3"/>
        <v>0</v>
      </c>
      <c r="E73" s="426"/>
    </row>
    <row r="74" spans="1:5" ht="15.75" hidden="1">
      <c r="A74" s="421"/>
      <c r="B74" s="418"/>
      <c r="C74" s="418"/>
      <c r="D74" s="432">
        <f t="shared" si="3"/>
        <v>0</v>
      </c>
      <c r="E74" s="426"/>
    </row>
    <row r="75" spans="1:5" ht="15.75" hidden="1">
      <c r="A75" s="421"/>
      <c r="B75" s="418"/>
      <c r="C75" s="418"/>
      <c r="D75" s="432">
        <f t="shared" si="3"/>
        <v>0</v>
      </c>
      <c r="E75" s="426"/>
    </row>
    <row r="76" spans="1:5" ht="15.75" hidden="1">
      <c r="A76" s="421"/>
      <c r="B76" s="418"/>
      <c r="C76" s="418"/>
      <c r="D76" s="432">
        <f t="shared" si="3"/>
        <v>0</v>
      </c>
      <c r="E76" s="426"/>
    </row>
    <row r="77" spans="1:5" ht="15.75" hidden="1">
      <c r="A77" s="421" t="s">
        <v>773</v>
      </c>
      <c r="B77" s="418"/>
      <c r="C77" s="418"/>
      <c r="D77" s="432">
        <f t="shared" si="3"/>
        <v>0</v>
      </c>
      <c r="E77" s="435"/>
    </row>
    <row r="78" spans="1:5" ht="31.5">
      <c r="A78" s="421" t="s">
        <v>774</v>
      </c>
      <c r="B78" s="418">
        <v>2959713</v>
      </c>
      <c r="C78" s="418">
        <f>2959713+1082174</f>
        <v>4041887</v>
      </c>
      <c r="D78" s="432">
        <f t="shared" si="3"/>
        <v>1082174</v>
      </c>
      <c r="E78" s="426" t="s">
        <v>859</v>
      </c>
    </row>
    <row r="79" spans="1:5" ht="15.75" hidden="1">
      <c r="A79" s="421" t="s">
        <v>780</v>
      </c>
      <c r="B79" s="418"/>
      <c r="C79" s="418"/>
      <c r="D79" s="432">
        <f t="shared" si="3"/>
        <v>0</v>
      </c>
      <c r="E79" s="426"/>
    </row>
    <row r="80" spans="1:5" ht="31.5">
      <c r="A80" s="417" t="s">
        <v>775</v>
      </c>
      <c r="B80" s="418">
        <v>0</v>
      </c>
      <c r="C80" s="418">
        <v>3750</v>
      </c>
      <c r="D80" s="432">
        <f t="shared" si="3"/>
        <v>3750</v>
      </c>
      <c r="E80" s="436" t="s">
        <v>961</v>
      </c>
    </row>
    <row r="81" spans="1:5" ht="15.75">
      <c r="A81" s="417" t="s">
        <v>781</v>
      </c>
      <c r="B81" s="418"/>
      <c r="C81" s="418"/>
      <c r="D81" s="432">
        <f t="shared" si="3"/>
        <v>0</v>
      </c>
      <c r="E81" s="426"/>
    </row>
    <row r="82" spans="1:5" ht="63">
      <c r="A82" s="421" t="s">
        <v>777</v>
      </c>
      <c r="B82" s="422">
        <f>B81+B78+B59+B58+B56+B53+B57+B80</f>
        <v>33216794.28</v>
      </c>
      <c r="C82" s="422">
        <f>C81+C78+C59+C58+C56+C53+C57+C80</f>
        <v>51163721.34</v>
      </c>
      <c r="D82" s="432">
        <f>C82-B82</f>
        <v>17946927.060000002</v>
      </c>
      <c r="E82" s="426" t="s">
        <v>858</v>
      </c>
    </row>
    <row r="83" spans="1:5" ht="16.5">
      <c r="A83" s="428"/>
      <c r="B83" s="429"/>
      <c r="C83" s="429"/>
      <c r="D83" s="429"/>
      <c r="E83" s="430"/>
    </row>
    <row r="84" spans="1:5" ht="18.75">
      <c r="A84" s="773" t="s">
        <v>782</v>
      </c>
      <c r="B84" s="773"/>
      <c r="C84" s="773"/>
      <c r="D84" s="773"/>
      <c r="E84" s="773"/>
    </row>
    <row r="85" spans="1:5" ht="16.5">
      <c r="A85" s="437"/>
      <c r="B85" s="437"/>
      <c r="C85" s="437"/>
      <c r="D85" s="437"/>
      <c r="E85" s="438"/>
    </row>
    <row r="86" spans="1:5" ht="31.5">
      <c r="A86" s="415" t="s">
        <v>164</v>
      </c>
      <c r="B86" s="416" t="s">
        <v>851</v>
      </c>
      <c r="C86" s="416" t="s">
        <v>853</v>
      </c>
      <c r="D86" s="416" t="s">
        <v>770</v>
      </c>
      <c r="E86" s="416" t="s">
        <v>771</v>
      </c>
    </row>
    <row r="87" spans="1:5" ht="31.5">
      <c r="A87" s="439">
        <v>150</v>
      </c>
      <c r="B87" s="440">
        <f>B122</f>
        <v>4891509.4</v>
      </c>
      <c r="C87" s="440">
        <f>C122</f>
        <v>6010660.309999999</v>
      </c>
      <c r="D87" s="440">
        <f>C87-B87</f>
        <v>1119150.9099999983</v>
      </c>
      <c r="E87" s="441" t="s">
        <v>855</v>
      </c>
    </row>
    <row r="88" spans="1:5" ht="16.5">
      <c r="A88" s="442" t="s">
        <v>4</v>
      </c>
      <c r="B88" s="462"/>
      <c r="C88" s="443"/>
      <c r="D88" s="440">
        <f aca="true" t="shared" si="4" ref="D88:D134">C88-B88</f>
        <v>0</v>
      </c>
      <c r="E88" s="460"/>
    </row>
    <row r="89" spans="1:5" ht="16.5">
      <c r="A89" s="444">
        <v>901370000</v>
      </c>
      <c r="B89" s="445">
        <v>56000</v>
      </c>
      <c r="C89" s="445">
        <v>56000</v>
      </c>
      <c r="D89" s="440">
        <f t="shared" si="4"/>
        <v>0</v>
      </c>
      <c r="E89" s="441"/>
    </row>
    <row r="90" spans="1:5" ht="16.5">
      <c r="A90" s="444">
        <v>901030000</v>
      </c>
      <c r="B90" s="445">
        <v>9039.6</v>
      </c>
      <c r="C90" s="445">
        <v>9039.6</v>
      </c>
      <c r="D90" s="440">
        <f t="shared" si="4"/>
        <v>0</v>
      </c>
      <c r="E90" s="441"/>
    </row>
    <row r="91" spans="1:5" ht="37.5" customHeight="1">
      <c r="A91" s="444">
        <v>901210000</v>
      </c>
      <c r="B91" s="445">
        <v>876777</v>
      </c>
      <c r="C91" s="445">
        <v>876777</v>
      </c>
      <c r="D91" s="440">
        <f t="shared" si="4"/>
        <v>0</v>
      </c>
      <c r="E91" s="441"/>
    </row>
    <row r="92" spans="1:5" ht="39.75" customHeight="1">
      <c r="A92" s="444">
        <v>901140000</v>
      </c>
      <c r="B92" s="445">
        <v>155008</v>
      </c>
      <c r="C92" s="445">
        <v>155008</v>
      </c>
      <c r="D92" s="440">
        <f t="shared" si="4"/>
        <v>0</v>
      </c>
      <c r="E92" s="441"/>
    </row>
    <row r="93" spans="1:5" ht="37.5" customHeight="1">
      <c r="A93" s="446">
        <v>901150000</v>
      </c>
      <c r="B93" s="445">
        <v>396173</v>
      </c>
      <c r="C93" s="445">
        <v>396173</v>
      </c>
      <c r="D93" s="440">
        <f t="shared" si="4"/>
        <v>0</v>
      </c>
      <c r="E93" s="441"/>
    </row>
    <row r="94" spans="1:5" ht="37.5" customHeight="1">
      <c r="A94" s="446">
        <v>901160000</v>
      </c>
      <c r="B94" s="445">
        <v>949644</v>
      </c>
      <c r="C94" s="445">
        <v>949644</v>
      </c>
      <c r="D94" s="440">
        <f t="shared" si="4"/>
        <v>0</v>
      </c>
      <c r="E94" s="441"/>
    </row>
    <row r="95" spans="1:5" ht="16.5">
      <c r="A95" s="446">
        <v>901890000</v>
      </c>
      <c r="B95" s="445">
        <v>1440</v>
      </c>
      <c r="C95" s="445">
        <v>1440</v>
      </c>
      <c r="D95" s="440">
        <f t="shared" si="4"/>
        <v>0</v>
      </c>
      <c r="E95" s="441"/>
    </row>
    <row r="96" spans="1:5" ht="16.5">
      <c r="A96" s="446">
        <v>901870000</v>
      </c>
      <c r="B96" s="445">
        <v>12915</v>
      </c>
      <c r="C96" s="445">
        <v>12915</v>
      </c>
      <c r="D96" s="440">
        <f t="shared" si="4"/>
        <v>0</v>
      </c>
      <c r="E96" s="441"/>
    </row>
    <row r="97" spans="1:5" ht="16.5">
      <c r="A97" s="446">
        <v>901270000</v>
      </c>
      <c r="B97" s="445">
        <v>18257.44</v>
      </c>
      <c r="C97" s="445">
        <v>18257.44</v>
      </c>
      <c r="D97" s="440">
        <f t="shared" si="4"/>
        <v>0</v>
      </c>
      <c r="E97" s="441"/>
    </row>
    <row r="98" spans="1:5" ht="33.75" customHeight="1">
      <c r="A98" s="446">
        <v>901830000</v>
      </c>
      <c r="B98" s="445">
        <v>532435.56</v>
      </c>
      <c r="C98" s="445">
        <v>532435.56</v>
      </c>
      <c r="D98" s="440">
        <f t="shared" si="4"/>
        <v>0</v>
      </c>
      <c r="E98" s="441"/>
    </row>
    <row r="99" spans="1:5" ht="38.25" customHeight="1" hidden="1">
      <c r="A99" s="446">
        <v>90101</v>
      </c>
      <c r="B99" s="447"/>
      <c r="C99" s="447"/>
      <c r="D99" s="440">
        <f t="shared" si="4"/>
        <v>0</v>
      </c>
      <c r="E99" s="441"/>
    </row>
    <row r="100" spans="1:5" ht="38.25" customHeight="1" hidden="1">
      <c r="A100" s="448">
        <v>90105</v>
      </c>
      <c r="B100" s="447"/>
      <c r="C100" s="447"/>
      <c r="D100" s="440">
        <f t="shared" si="4"/>
        <v>0</v>
      </c>
      <c r="E100" s="441"/>
    </row>
    <row r="101" spans="1:5" ht="33" customHeight="1" hidden="1">
      <c r="A101" s="446">
        <v>90187</v>
      </c>
      <c r="B101" s="447"/>
      <c r="C101" s="447"/>
      <c r="D101" s="440">
        <f t="shared" si="4"/>
        <v>0</v>
      </c>
      <c r="E101" s="441"/>
    </row>
    <row r="102" spans="1:5" ht="45.75" customHeight="1" hidden="1">
      <c r="A102" s="448">
        <v>90193</v>
      </c>
      <c r="B102" s="447"/>
      <c r="C102" s="447"/>
      <c r="D102" s="440">
        <f t="shared" si="4"/>
        <v>0</v>
      </c>
      <c r="E102" s="441"/>
    </row>
    <row r="103" spans="1:5" ht="39" customHeight="1" hidden="1">
      <c r="A103" s="448">
        <v>90149</v>
      </c>
      <c r="B103" s="447"/>
      <c r="C103" s="447"/>
      <c r="D103" s="440">
        <f t="shared" si="4"/>
        <v>0</v>
      </c>
      <c r="E103" s="441"/>
    </row>
    <row r="104" spans="1:5" ht="33.75" customHeight="1" hidden="1">
      <c r="A104" s="448">
        <v>90103</v>
      </c>
      <c r="B104" s="447"/>
      <c r="C104" s="447"/>
      <c r="D104" s="440">
        <f t="shared" si="4"/>
        <v>0</v>
      </c>
      <c r="E104" s="441"/>
    </row>
    <row r="105" spans="1:5" ht="37.5" customHeight="1" hidden="1">
      <c r="A105" s="446">
        <v>901800000</v>
      </c>
      <c r="B105" s="447"/>
      <c r="C105" s="447"/>
      <c r="D105" s="440">
        <f t="shared" si="4"/>
        <v>0</v>
      </c>
      <c r="E105" s="441"/>
    </row>
    <row r="106" spans="1:5" ht="36.75" customHeight="1" hidden="1">
      <c r="A106" s="446">
        <v>901890000</v>
      </c>
      <c r="B106" s="447"/>
      <c r="C106" s="447"/>
      <c r="D106" s="440">
        <f t="shared" si="4"/>
        <v>0</v>
      </c>
      <c r="E106" s="441"/>
    </row>
    <row r="107" spans="1:5" ht="36.75" customHeight="1">
      <c r="A107" s="446">
        <v>901170000</v>
      </c>
      <c r="B107" s="447">
        <v>90000</v>
      </c>
      <c r="C107" s="447">
        <v>90000</v>
      </c>
      <c r="D107" s="440">
        <f t="shared" si="4"/>
        <v>0</v>
      </c>
      <c r="E107" s="441"/>
    </row>
    <row r="108" spans="1:5" ht="33" customHeight="1">
      <c r="A108" s="446">
        <v>901480000</v>
      </c>
      <c r="B108" s="445">
        <v>1781767</v>
      </c>
      <c r="C108" s="445">
        <v>1781767</v>
      </c>
      <c r="D108" s="440">
        <f t="shared" si="4"/>
        <v>0</v>
      </c>
      <c r="E108" s="441"/>
    </row>
    <row r="109" spans="1:5" ht="31.5">
      <c r="A109" s="446">
        <v>901480000</v>
      </c>
      <c r="B109" s="445"/>
      <c r="C109" s="509">
        <v>364383</v>
      </c>
      <c r="D109" s="440">
        <f t="shared" si="4"/>
        <v>364383</v>
      </c>
      <c r="E109" s="441" t="s">
        <v>855</v>
      </c>
    </row>
    <row r="110" spans="1:5" ht="31.5">
      <c r="A110" s="446">
        <v>901160000</v>
      </c>
      <c r="B110" s="445"/>
      <c r="C110" s="509">
        <v>124075</v>
      </c>
      <c r="D110" s="440">
        <f t="shared" si="4"/>
        <v>124075</v>
      </c>
      <c r="E110" s="441" t="s">
        <v>855</v>
      </c>
    </row>
    <row r="111" spans="1:5" ht="31.5">
      <c r="A111" s="446">
        <v>901830000</v>
      </c>
      <c r="B111" s="445"/>
      <c r="C111" s="509">
        <v>64712.38</v>
      </c>
      <c r="D111" s="440">
        <f t="shared" si="4"/>
        <v>64712.38</v>
      </c>
      <c r="E111" s="441" t="s">
        <v>855</v>
      </c>
    </row>
    <row r="112" spans="1:5" ht="31.5">
      <c r="A112" s="446">
        <v>901060000</v>
      </c>
      <c r="B112" s="445"/>
      <c r="C112" s="509">
        <f>105204.41+39777.72</f>
        <v>144982.13</v>
      </c>
      <c r="D112" s="440">
        <f t="shared" si="4"/>
        <v>144982.13</v>
      </c>
      <c r="E112" s="441" t="s">
        <v>855</v>
      </c>
    </row>
    <row r="113" spans="1:5" ht="31.5">
      <c r="A113" s="446">
        <v>901140000</v>
      </c>
      <c r="B113" s="445"/>
      <c r="C113" s="509">
        <v>56596</v>
      </c>
      <c r="D113" s="440">
        <f t="shared" si="4"/>
        <v>56596</v>
      </c>
      <c r="E113" s="441" t="s">
        <v>855</v>
      </c>
    </row>
    <row r="114" spans="1:5" ht="31.5">
      <c r="A114" s="446">
        <v>901140000</v>
      </c>
      <c r="B114" s="445"/>
      <c r="C114" s="509">
        <v>13862</v>
      </c>
      <c r="D114" s="440">
        <f t="shared" si="4"/>
        <v>13862</v>
      </c>
      <c r="E114" s="441" t="s">
        <v>855</v>
      </c>
    </row>
    <row r="115" spans="1:5" ht="31.5">
      <c r="A115" s="446">
        <v>901150000</v>
      </c>
      <c r="B115" s="445"/>
      <c r="C115" s="509">
        <v>67915</v>
      </c>
      <c r="D115" s="440">
        <f t="shared" si="4"/>
        <v>67915</v>
      </c>
      <c r="E115" s="441" t="s">
        <v>855</v>
      </c>
    </row>
    <row r="116" spans="1:5" ht="31.5">
      <c r="A116" s="446">
        <v>901210000</v>
      </c>
      <c r="B116" s="445"/>
      <c r="C116" s="509">
        <v>105533</v>
      </c>
      <c r="D116" s="440">
        <f t="shared" si="4"/>
        <v>105533</v>
      </c>
      <c r="E116" s="441" t="s">
        <v>855</v>
      </c>
    </row>
    <row r="117" spans="1:5" ht="31.5">
      <c r="A117" s="446">
        <v>901480000</v>
      </c>
      <c r="B117" s="445"/>
      <c r="C117" s="509">
        <v>100000</v>
      </c>
      <c r="D117" s="440">
        <f t="shared" si="4"/>
        <v>100000</v>
      </c>
      <c r="E117" s="441" t="s">
        <v>855</v>
      </c>
    </row>
    <row r="118" spans="1:5" ht="31.5">
      <c r="A118" s="446">
        <v>901370000</v>
      </c>
      <c r="B118" s="445"/>
      <c r="C118" s="509">
        <v>56000</v>
      </c>
      <c r="D118" s="440">
        <f t="shared" si="4"/>
        <v>56000</v>
      </c>
      <c r="E118" s="441" t="s">
        <v>855</v>
      </c>
    </row>
    <row r="119" spans="1:5" ht="31.5">
      <c r="A119" s="446">
        <v>901030000</v>
      </c>
      <c r="B119" s="445"/>
      <c r="C119" s="509">
        <v>9039.6</v>
      </c>
      <c r="D119" s="440">
        <f t="shared" si="4"/>
        <v>9039.6</v>
      </c>
      <c r="E119" s="441" t="s">
        <v>855</v>
      </c>
    </row>
    <row r="120" spans="1:5" ht="31.5">
      <c r="A120" s="446">
        <v>901490000</v>
      </c>
      <c r="B120" s="445"/>
      <c r="C120" s="509">
        <v>12052.8</v>
      </c>
      <c r="D120" s="440">
        <f t="shared" si="4"/>
        <v>12052.8</v>
      </c>
      <c r="E120" s="441" t="s">
        <v>855</v>
      </c>
    </row>
    <row r="121" spans="1:5" ht="16.5">
      <c r="A121" s="446">
        <v>901490000</v>
      </c>
      <c r="B121" s="461">
        <v>12052.8</v>
      </c>
      <c r="C121" s="461">
        <v>12052.8</v>
      </c>
      <c r="D121" s="440">
        <f t="shared" si="4"/>
        <v>0</v>
      </c>
      <c r="E121" s="441"/>
    </row>
    <row r="122" spans="1:5" ht="33">
      <c r="A122" s="449" t="s">
        <v>772</v>
      </c>
      <c r="B122" s="450">
        <f>B91+B108+B92+B93+B94+B98+B89+B97+B96+B95+B107+B121+B90</f>
        <v>4891509.4</v>
      </c>
      <c r="C122" s="450">
        <f>SUM(C89:C121)</f>
        <v>6010660.309999999</v>
      </c>
      <c r="D122" s="440">
        <f t="shared" si="4"/>
        <v>1119150.9099999983</v>
      </c>
      <c r="E122" s="441" t="s">
        <v>855</v>
      </c>
    </row>
    <row r="123" spans="1:5" ht="35.25" customHeight="1">
      <c r="A123" s="449" t="s">
        <v>788</v>
      </c>
      <c r="B123" s="440">
        <f>1598344.58+753495.68+439757.32</f>
        <v>2791597.58</v>
      </c>
      <c r="C123" s="440">
        <f>1598344.58+753495.68+439757.32+346052.28+94268.13+88414.03</f>
        <v>3320332.02</v>
      </c>
      <c r="D123" s="440">
        <f t="shared" si="4"/>
        <v>528734.44</v>
      </c>
      <c r="E123" s="441"/>
    </row>
    <row r="124" spans="1:5" ht="35.25" customHeight="1">
      <c r="A124" s="449" t="s">
        <v>789</v>
      </c>
      <c r="B124" s="440">
        <f>10000+4775.84</f>
        <v>14775.84</v>
      </c>
      <c r="C124" s="440">
        <f>10000+4775.84+8000</f>
        <v>22775.84</v>
      </c>
      <c r="D124" s="440">
        <f t="shared" si="4"/>
        <v>8000</v>
      </c>
      <c r="E124" s="441"/>
    </row>
    <row r="125" spans="1:5" ht="36" customHeight="1">
      <c r="A125" s="449">
        <v>119</v>
      </c>
      <c r="B125" s="440">
        <f>482700.07+227555.7+132802.64</f>
        <v>843058.41</v>
      </c>
      <c r="C125" s="440">
        <f>482700.07+227555.7+132802.64+106017.12+29072.97+27003.03</f>
        <v>1005151.53</v>
      </c>
      <c r="D125" s="440">
        <f t="shared" si="4"/>
        <v>162093.12</v>
      </c>
      <c r="E125" s="441"/>
    </row>
    <row r="126" spans="1:5" ht="36" customHeight="1">
      <c r="A126" s="449">
        <v>112</v>
      </c>
      <c r="B126" s="440">
        <f>B127+B128</f>
        <v>211092.4</v>
      </c>
      <c r="C126" s="440">
        <f>C127+C128</f>
        <v>332184.8</v>
      </c>
      <c r="D126" s="440">
        <f t="shared" si="4"/>
        <v>121092.4</v>
      </c>
      <c r="E126" s="441" t="s">
        <v>801</v>
      </c>
    </row>
    <row r="127" spans="1:5" ht="36" customHeight="1">
      <c r="A127" s="449" t="s">
        <v>779</v>
      </c>
      <c r="B127" s="440">
        <v>190000</v>
      </c>
      <c r="C127" s="440">
        <v>290000</v>
      </c>
      <c r="D127" s="440">
        <f t="shared" si="4"/>
        <v>100000</v>
      </c>
      <c r="E127" s="441"/>
    </row>
    <row r="128" spans="1:5" ht="36" customHeight="1">
      <c r="A128" s="449" t="s">
        <v>792</v>
      </c>
      <c r="B128" s="440">
        <f>9039.6+12052.8</f>
        <v>21092.4</v>
      </c>
      <c r="C128" s="440">
        <f>9039.6+12052.8+9039.6+12052.8</f>
        <v>42184.8</v>
      </c>
      <c r="D128" s="440">
        <f t="shared" si="4"/>
        <v>21092.4</v>
      </c>
      <c r="E128" s="441" t="s">
        <v>801</v>
      </c>
    </row>
    <row r="129" spans="1:5" ht="47.25">
      <c r="A129" s="449">
        <v>244</v>
      </c>
      <c r="B129" s="440">
        <v>32612.44</v>
      </c>
      <c r="C129" s="440">
        <f>249816.85+39777.72</f>
        <v>289594.57</v>
      </c>
      <c r="D129" s="440">
        <f t="shared" si="4"/>
        <v>256982.13</v>
      </c>
      <c r="E129" s="441" t="s">
        <v>801</v>
      </c>
    </row>
    <row r="130" spans="1:5" ht="47.25" customHeight="1">
      <c r="A130" s="449">
        <v>321</v>
      </c>
      <c r="B130" s="440">
        <v>30497</v>
      </c>
      <c r="C130" s="440">
        <f>30497+13862</f>
        <v>44359</v>
      </c>
      <c r="D130" s="440">
        <f t="shared" si="4"/>
        <v>13862</v>
      </c>
      <c r="E130" s="441"/>
    </row>
    <row r="131" spans="1:5" ht="38.25" customHeight="1">
      <c r="A131" s="449">
        <v>323</v>
      </c>
      <c r="B131" s="440">
        <f>124511+449289.98+876777</f>
        <v>1450577.98</v>
      </c>
      <c r="C131" s="440">
        <f>124511+449289.98+876777+57544.92+67915+105533</f>
        <v>1681570.9</v>
      </c>
      <c r="D131" s="440">
        <f t="shared" si="4"/>
        <v>230992.91999999993</v>
      </c>
      <c r="E131" s="441"/>
    </row>
    <row r="132" spans="1:5" ht="16.5">
      <c r="A132" s="439"/>
      <c r="B132" s="440"/>
      <c r="C132" s="440"/>
      <c r="D132" s="440">
        <f t="shared" si="4"/>
        <v>0</v>
      </c>
      <c r="E132" s="451"/>
    </row>
    <row r="133" spans="1:5" ht="16.5">
      <c r="A133" s="439"/>
      <c r="B133" s="440"/>
      <c r="C133" s="440"/>
      <c r="D133" s="440">
        <f t="shared" si="4"/>
        <v>0</v>
      </c>
      <c r="E133" s="452"/>
    </row>
    <row r="134" spans="1:5" ht="47.25">
      <c r="A134" s="449" t="s">
        <v>777</v>
      </c>
      <c r="B134" s="450">
        <f>B131+B130+B129+B126+B125+B123+B124</f>
        <v>5374211.65</v>
      </c>
      <c r="C134" s="450">
        <f>C131+C130+C129+C126+C125+C123+C124</f>
        <v>6695968.66</v>
      </c>
      <c r="D134" s="440">
        <f t="shared" si="4"/>
        <v>1321757.0099999998</v>
      </c>
      <c r="E134" s="441" t="s">
        <v>801</v>
      </c>
    </row>
    <row r="135" spans="1:5" ht="16.5">
      <c r="A135" s="453"/>
      <c r="B135" s="429"/>
      <c r="C135" s="454"/>
      <c r="D135" s="454"/>
      <c r="E135" s="455"/>
    </row>
    <row r="136" spans="1:5" ht="16.5">
      <c r="A136" s="453"/>
      <c r="B136" s="429"/>
      <c r="C136" s="454"/>
      <c r="D136" s="454"/>
      <c r="E136" s="455"/>
    </row>
    <row r="137" spans="1:5" ht="18.75">
      <c r="A137" s="437" t="s">
        <v>783</v>
      </c>
      <c r="B137" s="437"/>
      <c r="C137" s="456" t="s">
        <v>784</v>
      </c>
      <c r="D137" s="414"/>
      <c r="E137" s="11"/>
    </row>
    <row r="138" spans="1:5" ht="16.5">
      <c r="A138" s="437"/>
      <c r="B138" s="437"/>
      <c r="C138" s="457"/>
      <c r="D138" s="458"/>
      <c r="E138" s="11"/>
    </row>
    <row r="139" spans="1:5" ht="16.5">
      <c r="A139" s="437"/>
      <c r="B139" s="437"/>
      <c r="C139" s="456"/>
      <c r="D139" s="437"/>
      <c r="E139" s="11"/>
    </row>
    <row r="140" spans="1:5" ht="16.5">
      <c r="A140" s="437" t="s">
        <v>786</v>
      </c>
      <c r="B140" s="437"/>
      <c r="C140" s="437"/>
      <c r="D140" s="459"/>
      <c r="E140" s="11"/>
    </row>
    <row r="141" spans="1:5" ht="16.5">
      <c r="A141" s="437" t="s">
        <v>787</v>
      </c>
      <c r="B141" s="437"/>
      <c r="C141" s="437"/>
      <c r="D141" s="437"/>
      <c r="E141" s="11"/>
    </row>
  </sheetData>
  <sheetProtection/>
  <mergeCells count="6">
    <mergeCell ref="A1:E1"/>
    <mergeCell ref="A2:E2"/>
    <mergeCell ref="A4:E4"/>
    <mergeCell ref="A7:E7"/>
    <mergeCell ref="A48:E48"/>
    <mergeCell ref="A84:E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rowBreaks count="2" manualBreakCount="2">
    <brk id="47" max="5" man="1"/>
    <brk id="83" max="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="55" zoomScaleNormal="55" zoomScaleSheetLayoutView="55" zoomScalePageLayoutView="0" workbookViewId="0" topLeftCell="A1">
      <selection activeCell="A2" sqref="A1:E16384"/>
    </sheetView>
  </sheetViews>
  <sheetFormatPr defaultColWidth="9.140625" defaultRowHeight="15"/>
  <cols>
    <col min="1" max="1" width="48.57421875" style="0" customWidth="1"/>
    <col min="2" max="2" width="23.140625" style="0" customWidth="1"/>
    <col min="3" max="3" width="19.00390625" style="0" customWidth="1"/>
    <col min="4" max="4" width="25.140625" style="0" customWidth="1"/>
    <col min="5" max="5" width="22.28125" style="0" customWidth="1"/>
  </cols>
  <sheetData>
    <row r="1" spans="1:5" ht="15.75">
      <c r="A1" s="774" t="s">
        <v>802</v>
      </c>
      <c r="B1" s="774"/>
      <c r="C1" s="774"/>
      <c r="D1" s="774"/>
      <c r="E1" s="774"/>
    </row>
    <row r="3" ht="15">
      <c r="A3" s="472"/>
    </row>
    <row r="4" spans="1:5" ht="15.75">
      <c r="A4" s="775" t="s">
        <v>803</v>
      </c>
      <c r="B4" s="775"/>
      <c r="C4" s="775"/>
      <c r="D4" s="775"/>
      <c r="E4" s="775"/>
    </row>
    <row r="5" spans="1:5" ht="15.75">
      <c r="A5" s="775" t="s">
        <v>812</v>
      </c>
      <c r="B5" s="775"/>
      <c r="C5" s="775"/>
      <c r="D5" s="775"/>
      <c r="E5" s="775"/>
    </row>
    <row r="6" ht="15.75">
      <c r="A6" s="473" t="s">
        <v>804</v>
      </c>
    </row>
    <row r="7" spans="1:5" ht="99" customHeight="1">
      <c r="A7" s="776" t="s">
        <v>805</v>
      </c>
      <c r="B7" s="776" t="s">
        <v>806</v>
      </c>
      <c r="C7" s="776" t="s">
        <v>807</v>
      </c>
      <c r="D7" s="776" t="s">
        <v>808</v>
      </c>
      <c r="E7" s="776" t="s">
        <v>809</v>
      </c>
    </row>
    <row r="8" spans="1:5" ht="15">
      <c r="A8" s="776"/>
      <c r="B8" s="776"/>
      <c r="C8" s="776"/>
      <c r="D8" s="776"/>
      <c r="E8" s="776"/>
    </row>
    <row r="9" spans="1:5" ht="15">
      <c r="A9" s="776"/>
      <c r="B9" s="776"/>
      <c r="C9" s="776"/>
      <c r="D9" s="776"/>
      <c r="E9" s="776"/>
    </row>
    <row r="10" spans="1:5" ht="66" customHeight="1">
      <c r="A10" s="474"/>
      <c r="B10" s="475" t="s">
        <v>810</v>
      </c>
      <c r="C10" s="476"/>
      <c r="D10" s="477"/>
      <c r="E10" s="476"/>
    </row>
    <row r="11" spans="1:5" ht="78.75" customHeight="1">
      <c r="A11" s="474" t="s">
        <v>816</v>
      </c>
      <c r="B11" s="475" t="s">
        <v>815</v>
      </c>
      <c r="C11" s="475"/>
      <c r="D11" s="433"/>
      <c r="E11" s="475"/>
    </row>
    <row r="12" spans="1:5" ht="153" customHeight="1">
      <c r="A12" s="474" t="s">
        <v>817</v>
      </c>
      <c r="B12" s="475"/>
      <c r="C12" s="475"/>
      <c r="D12" s="433" t="s">
        <v>860</v>
      </c>
      <c r="E12" s="475"/>
    </row>
    <row r="13" spans="1:5" ht="65.25" customHeight="1">
      <c r="A13" s="474" t="s">
        <v>812</v>
      </c>
      <c r="B13" s="478"/>
      <c r="C13" s="474"/>
      <c r="D13" s="433" t="s">
        <v>855</v>
      </c>
      <c r="E13" s="474"/>
    </row>
    <row r="14" spans="1:5" ht="55.5" customHeight="1">
      <c r="A14" s="474" t="s">
        <v>818</v>
      </c>
      <c r="B14" s="474"/>
      <c r="C14" s="474"/>
      <c r="D14" s="433" t="s">
        <v>854</v>
      </c>
      <c r="E14" s="474"/>
    </row>
    <row r="15" spans="1:5" ht="57.75" customHeight="1">
      <c r="A15" s="474" t="s">
        <v>819</v>
      </c>
      <c r="B15" s="474"/>
      <c r="C15" s="474"/>
      <c r="D15" s="433" t="s">
        <v>811</v>
      </c>
      <c r="E15" s="474"/>
    </row>
    <row r="16" ht="15">
      <c r="A16" s="479"/>
    </row>
    <row r="17" ht="15.75">
      <c r="A17" s="480"/>
    </row>
    <row r="18" ht="15.75">
      <c r="A18" s="480"/>
    </row>
    <row r="19" ht="15.75">
      <c r="A19" s="480" t="s">
        <v>814</v>
      </c>
    </row>
    <row r="20" ht="15.75">
      <c r="A20" s="480" t="s">
        <v>813</v>
      </c>
    </row>
  </sheetData>
  <sheetProtection/>
  <mergeCells count="8">
    <mergeCell ref="A1:E1"/>
    <mergeCell ref="A4:E4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C158"/>
  <sheetViews>
    <sheetView view="pageBreakPreview" zoomScaleSheetLayoutView="100" zoomScalePageLayoutView="0" workbookViewId="0" topLeftCell="A1">
      <selection activeCell="A1" sqref="A1:C16384"/>
    </sheetView>
  </sheetViews>
  <sheetFormatPr defaultColWidth="9.140625" defaultRowHeight="15"/>
  <cols>
    <col min="2" max="2" width="95.7109375" style="10" customWidth="1"/>
    <col min="3" max="3" width="31.421875" style="79" customWidth="1"/>
  </cols>
  <sheetData>
    <row r="1" spans="2:3" ht="26.25" customHeight="1">
      <c r="B1" s="600" t="s">
        <v>393</v>
      </c>
      <c r="C1" s="600"/>
    </row>
    <row r="2" spans="2:3" ht="10.5" customHeight="1">
      <c r="B2" s="48" t="s">
        <v>381</v>
      </c>
      <c r="C2" s="48"/>
    </row>
    <row r="3" spans="2:3" ht="21" customHeight="1">
      <c r="B3" s="601" t="s">
        <v>0</v>
      </c>
      <c r="C3" s="601"/>
    </row>
    <row r="4" spans="1:3" s="17" customFormat="1" ht="19.5" customHeight="1">
      <c r="A4" s="49" t="s">
        <v>137</v>
      </c>
      <c r="B4" s="70" t="s">
        <v>1</v>
      </c>
      <c r="C4" s="70" t="s">
        <v>2</v>
      </c>
    </row>
    <row r="5" spans="1:3" s="17" customFormat="1" ht="15" customHeight="1">
      <c r="A5" s="49">
        <v>1</v>
      </c>
      <c r="B5" s="36">
        <v>2</v>
      </c>
      <c r="C5" s="18">
        <v>3</v>
      </c>
    </row>
    <row r="6" spans="1:3" s="17" customFormat="1" ht="17.25" customHeight="1">
      <c r="A6" s="52" t="s">
        <v>434</v>
      </c>
      <c r="B6" s="71" t="s">
        <v>105</v>
      </c>
      <c r="C6" s="72">
        <f>C7+C10+C13+C16+C18+C20</f>
        <v>257288.19999999998</v>
      </c>
    </row>
    <row r="7" spans="1:3" s="17" customFormat="1" ht="31.5" customHeight="1">
      <c r="A7" s="52" t="s">
        <v>435</v>
      </c>
      <c r="B7" s="71" t="s">
        <v>136</v>
      </c>
      <c r="C7" s="73">
        <v>18373.9</v>
      </c>
    </row>
    <row r="8" spans="1:3" s="17" customFormat="1" ht="32.25" customHeight="1">
      <c r="A8" s="51"/>
      <c r="B8" s="71" t="s">
        <v>382</v>
      </c>
      <c r="C8" s="74">
        <v>12011.8</v>
      </c>
    </row>
    <row r="9" spans="1:3" s="17" customFormat="1" ht="18" customHeight="1">
      <c r="A9" s="51"/>
      <c r="B9" s="75" t="s">
        <v>383</v>
      </c>
      <c r="C9" s="73">
        <v>6846.64</v>
      </c>
    </row>
    <row r="10" spans="1:3" s="17" customFormat="1" ht="15" customHeight="1">
      <c r="A10" s="52" t="s">
        <v>436</v>
      </c>
      <c r="B10" s="71" t="s">
        <v>106</v>
      </c>
      <c r="C10" s="73">
        <f>C11+C12</f>
        <v>8394.5</v>
      </c>
    </row>
    <row r="11" spans="1:3" s="17" customFormat="1" ht="34.5" customHeight="1">
      <c r="A11" s="51"/>
      <c r="B11" s="71" t="s">
        <v>384</v>
      </c>
      <c r="C11" s="73">
        <v>6517.8</v>
      </c>
    </row>
    <row r="12" spans="1:3" s="17" customFormat="1" ht="22.5" customHeight="1">
      <c r="A12" s="51"/>
      <c r="B12" s="75" t="s">
        <v>383</v>
      </c>
      <c r="C12" s="73">
        <v>1876.7</v>
      </c>
    </row>
    <row r="13" spans="1:3" s="17" customFormat="1" ht="15.75">
      <c r="A13" s="52" t="s">
        <v>437</v>
      </c>
      <c r="B13" s="71" t="s">
        <v>385</v>
      </c>
      <c r="C13" s="73">
        <f>C14+C15</f>
        <v>12571.6</v>
      </c>
    </row>
    <row r="14" spans="1:3" s="17" customFormat="1" ht="38.25" customHeight="1">
      <c r="A14" s="51"/>
      <c r="B14" s="71" t="s">
        <v>386</v>
      </c>
      <c r="C14" s="73">
        <v>12113.5</v>
      </c>
    </row>
    <row r="15" spans="1:3" s="17" customFormat="1" ht="15.75">
      <c r="A15" s="51"/>
      <c r="B15" s="75" t="s">
        <v>383</v>
      </c>
      <c r="C15" s="73">
        <v>458.1</v>
      </c>
    </row>
    <row r="16" spans="1:3" s="17" customFormat="1" ht="27" customHeight="1">
      <c r="A16" s="52" t="s">
        <v>438</v>
      </c>
      <c r="B16" s="71" t="s">
        <v>138</v>
      </c>
      <c r="C16" s="73">
        <f>C17</f>
        <v>1119.4</v>
      </c>
    </row>
    <row r="17" spans="1:3" s="17" customFormat="1" ht="31.5">
      <c r="A17" s="51"/>
      <c r="B17" s="71" t="s">
        <v>387</v>
      </c>
      <c r="C17" s="73">
        <v>1119.4</v>
      </c>
    </row>
    <row r="18" spans="1:3" s="17" customFormat="1" ht="15.75">
      <c r="A18" s="52" t="s">
        <v>439</v>
      </c>
      <c r="B18" s="71" t="s">
        <v>139</v>
      </c>
      <c r="C18" s="73">
        <f>C19</f>
        <v>216828.8</v>
      </c>
    </row>
    <row r="19" spans="1:3" s="17" customFormat="1" ht="31.5">
      <c r="A19" s="51"/>
      <c r="B19" s="71" t="s">
        <v>387</v>
      </c>
      <c r="C19" s="73">
        <v>216828.8</v>
      </c>
    </row>
    <row r="20" spans="1:3" s="17" customFormat="1" ht="15.75">
      <c r="A20" s="52" t="s">
        <v>440</v>
      </c>
      <c r="B20" s="71" t="s">
        <v>388</v>
      </c>
      <c r="C20" s="73">
        <v>0</v>
      </c>
    </row>
    <row r="21" spans="1:3" s="17" customFormat="1" ht="17.25" customHeight="1">
      <c r="A21" s="52" t="s">
        <v>441</v>
      </c>
      <c r="B21" s="71" t="s">
        <v>107</v>
      </c>
      <c r="C21" s="72">
        <f>C22+C26+C27</f>
        <v>45679.200000000004</v>
      </c>
    </row>
    <row r="22" spans="1:3" s="17" customFormat="1" ht="15" customHeight="1">
      <c r="A22" s="52" t="s">
        <v>442</v>
      </c>
      <c r="B22" s="71" t="s">
        <v>140</v>
      </c>
      <c r="C22" s="73">
        <f>C23+C24</f>
        <v>12165.2</v>
      </c>
    </row>
    <row r="23" spans="1:3" s="17" customFormat="1" ht="15" customHeight="1">
      <c r="A23" s="52"/>
      <c r="B23" s="71" t="s">
        <v>141</v>
      </c>
      <c r="C23" s="73">
        <v>8165.2</v>
      </c>
    </row>
    <row r="24" spans="1:3" s="17" customFormat="1" ht="15" customHeight="1">
      <c r="A24" s="51"/>
      <c r="B24" s="71" t="s">
        <v>108</v>
      </c>
      <c r="C24" s="73">
        <v>4000</v>
      </c>
    </row>
    <row r="25" spans="1:3" s="17" customFormat="1" ht="15" customHeight="1">
      <c r="A25" s="51"/>
      <c r="B25" s="71" t="s">
        <v>109</v>
      </c>
      <c r="C25" s="73">
        <v>0</v>
      </c>
    </row>
    <row r="26" spans="1:3" s="17" customFormat="1" ht="15" customHeight="1">
      <c r="A26" s="52" t="s">
        <v>443</v>
      </c>
      <c r="B26" s="71" t="s">
        <v>110</v>
      </c>
      <c r="C26" s="73">
        <v>33470.4</v>
      </c>
    </row>
    <row r="27" spans="1:3" s="17" customFormat="1" ht="15" customHeight="1">
      <c r="A27" s="52" t="s">
        <v>444</v>
      </c>
      <c r="B27" s="71" t="s">
        <v>142</v>
      </c>
      <c r="C27" s="73">
        <f>C29+C41</f>
        <v>43.6</v>
      </c>
    </row>
    <row r="28" spans="1:3" s="17" customFormat="1" ht="15" customHeight="1">
      <c r="A28" s="51"/>
      <c r="B28" s="71" t="s">
        <v>389</v>
      </c>
      <c r="C28" s="73"/>
    </row>
    <row r="29" spans="1:3" s="17" customFormat="1" ht="31.5">
      <c r="A29" s="51"/>
      <c r="B29" s="71" t="s">
        <v>445</v>
      </c>
      <c r="C29" s="73">
        <v>43.6</v>
      </c>
    </row>
    <row r="30" spans="1:3" s="17" customFormat="1" ht="15" customHeight="1">
      <c r="A30" s="51"/>
      <c r="B30" s="71" t="s">
        <v>143</v>
      </c>
      <c r="C30" s="73">
        <v>0</v>
      </c>
    </row>
    <row r="31" spans="1:3" s="17" customFormat="1" ht="15" customHeight="1">
      <c r="A31" s="51"/>
      <c r="B31" s="71" t="s">
        <v>6</v>
      </c>
      <c r="C31" s="73">
        <v>0</v>
      </c>
    </row>
    <row r="32" spans="1:3" s="17" customFormat="1" ht="15" customHeight="1">
      <c r="A32" s="51"/>
      <c r="B32" s="71" t="s">
        <v>7</v>
      </c>
      <c r="C32" s="73">
        <v>2.1</v>
      </c>
    </row>
    <row r="33" spans="1:3" s="17" customFormat="1" ht="15" customHeight="1">
      <c r="A33" s="51"/>
      <c r="B33" s="71" t="s">
        <v>111</v>
      </c>
      <c r="C33" s="73">
        <v>0</v>
      </c>
    </row>
    <row r="34" spans="1:3" s="17" customFormat="1" ht="15" customHeight="1">
      <c r="A34" s="51"/>
      <c r="B34" s="71" t="s">
        <v>112</v>
      </c>
      <c r="C34" s="73">
        <v>32.7</v>
      </c>
    </row>
    <row r="35" spans="1:3" s="17" customFormat="1" ht="15" customHeight="1">
      <c r="A35" s="51"/>
      <c r="B35" s="71" t="s">
        <v>113</v>
      </c>
      <c r="C35" s="73">
        <v>0</v>
      </c>
    </row>
    <row r="36" spans="1:3" s="17" customFormat="1" ht="15" customHeight="1">
      <c r="A36" s="51"/>
      <c r="B36" s="71" t="s">
        <v>114</v>
      </c>
      <c r="C36" s="73">
        <v>0</v>
      </c>
    </row>
    <row r="37" spans="1:3" s="17" customFormat="1" ht="15" customHeight="1">
      <c r="A37" s="51"/>
      <c r="B37" s="71" t="s">
        <v>115</v>
      </c>
      <c r="C37" s="73">
        <v>0</v>
      </c>
    </row>
    <row r="38" spans="1:3" s="17" customFormat="1" ht="15" customHeight="1">
      <c r="A38" s="51"/>
      <c r="B38" s="71" t="s">
        <v>116</v>
      </c>
      <c r="C38" s="73">
        <v>0</v>
      </c>
    </row>
    <row r="39" spans="1:3" s="17" customFormat="1" ht="15" customHeight="1">
      <c r="A39" s="51"/>
      <c r="B39" s="71" t="s">
        <v>117</v>
      </c>
      <c r="C39" s="73">
        <v>0</v>
      </c>
    </row>
    <row r="40" spans="1:3" s="17" customFormat="1" ht="15" customHeight="1">
      <c r="A40" s="51"/>
      <c r="B40" s="71" t="s">
        <v>144</v>
      </c>
      <c r="C40" s="73">
        <v>0</v>
      </c>
    </row>
    <row r="41" spans="1:3" s="17" customFormat="1" ht="31.5">
      <c r="A41" s="51"/>
      <c r="B41" s="71" t="s">
        <v>145</v>
      </c>
      <c r="C41" s="73">
        <f>SUM(C42:C53)</f>
        <v>0</v>
      </c>
    </row>
    <row r="42" spans="1:3" s="17" customFormat="1" ht="15" customHeight="1">
      <c r="A42" s="51"/>
      <c r="B42" s="71" t="s">
        <v>146</v>
      </c>
      <c r="C42" s="73">
        <v>0</v>
      </c>
    </row>
    <row r="43" spans="1:3" s="17" customFormat="1" ht="15" customHeight="1">
      <c r="A43" s="51"/>
      <c r="B43" s="71" t="s">
        <v>6</v>
      </c>
      <c r="C43" s="73">
        <v>0</v>
      </c>
    </row>
    <row r="44" spans="1:3" s="17" customFormat="1" ht="15" customHeight="1">
      <c r="A44" s="51"/>
      <c r="B44" s="71" t="s">
        <v>7</v>
      </c>
      <c r="C44" s="73">
        <v>0</v>
      </c>
    </row>
    <row r="45" spans="1:3" s="17" customFormat="1" ht="15" customHeight="1">
      <c r="A45" s="51"/>
      <c r="B45" s="71" t="s">
        <v>111</v>
      </c>
      <c r="C45" s="73">
        <v>0</v>
      </c>
    </row>
    <row r="46" spans="1:3" s="17" customFormat="1" ht="15" customHeight="1">
      <c r="A46" s="51"/>
      <c r="B46" s="71" t="s">
        <v>112</v>
      </c>
      <c r="C46" s="73">
        <v>0</v>
      </c>
    </row>
    <row r="47" spans="1:3" s="17" customFormat="1" ht="15" customHeight="1">
      <c r="A47" s="51"/>
      <c r="B47" s="71" t="s">
        <v>113</v>
      </c>
      <c r="C47" s="73">
        <v>0</v>
      </c>
    </row>
    <row r="48" spans="1:3" s="17" customFormat="1" ht="15" customHeight="1">
      <c r="A48" s="51"/>
      <c r="B48" s="71" t="s">
        <v>114</v>
      </c>
      <c r="C48" s="73">
        <v>0</v>
      </c>
    </row>
    <row r="49" spans="1:3" s="17" customFormat="1" ht="15" customHeight="1">
      <c r="A49" s="51"/>
      <c r="B49" s="71" t="s">
        <v>115</v>
      </c>
      <c r="C49" s="73">
        <v>0</v>
      </c>
    </row>
    <row r="50" spans="1:3" s="17" customFormat="1" ht="15" customHeight="1">
      <c r="A50" s="51"/>
      <c r="B50" s="71" t="s">
        <v>118</v>
      </c>
      <c r="C50" s="73">
        <v>0</v>
      </c>
    </row>
    <row r="51" spans="1:3" s="17" customFormat="1" ht="15" customHeight="1">
      <c r="A51" s="51"/>
      <c r="B51" s="71" t="s">
        <v>8</v>
      </c>
      <c r="C51" s="73">
        <v>0</v>
      </c>
    </row>
    <row r="52" spans="1:3" s="17" customFormat="1" ht="15" customHeight="1">
      <c r="A52" s="51"/>
      <c r="B52" s="71" t="s">
        <v>147</v>
      </c>
      <c r="C52" s="73">
        <v>0</v>
      </c>
    </row>
    <row r="53" spans="1:3" s="17" customFormat="1" ht="15" customHeight="1">
      <c r="A53" s="51"/>
      <c r="B53" s="71" t="s">
        <v>446</v>
      </c>
      <c r="C53" s="73">
        <v>0</v>
      </c>
    </row>
    <row r="54" spans="1:3" s="17" customFormat="1" ht="31.5">
      <c r="A54" s="51"/>
      <c r="B54" s="71" t="s">
        <v>148</v>
      </c>
      <c r="C54" s="73">
        <f>SUM(C55:C64)</f>
        <v>0</v>
      </c>
    </row>
    <row r="55" spans="1:3" s="17" customFormat="1" ht="31.5">
      <c r="A55" s="51"/>
      <c r="B55" s="71" t="s">
        <v>390</v>
      </c>
      <c r="C55" s="73">
        <v>0</v>
      </c>
    </row>
    <row r="56" spans="1:3" s="17" customFormat="1" ht="15.75">
      <c r="A56" s="51"/>
      <c r="B56" s="71" t="s">
        <v>6</v>
      </c>
      <c r="C56" s="73">
        <v>0</v>
      </c>
    </row>
    <row r="57" spans="1:3" s="17" customFormat="1" ht="15" customHeight="1">
      <c r="A57" s="51"/>
      <c r="B57" s="71" t="s">
        <v>7</v>
      </c>
      <c r="C57" s="73">
        <v>0</v>
      </c>
    </row>
    <row r="58" spans="1:3" s="17" customFormat="1" ht="15" customHeight="1">
      <c r="A58" s="51"/>
      <c r="B58" s="71" t="s">
        <v>149</v>
      </c>
      <c r="C58" s="73">
        <v>0</v>
      </c>
    </row>
    <row r="59" spans="1:3" s="17" customFormat="1" ht="15.75">
      <c r="A59" s="51"/>
      <c r="B59" s="71" t="s">
        <v>150</v>
      </c>
      <c r="C59" s="73">
        <v>0</v>
      </c>
    </row>
    <row r="60" spans="1:3" s="17" customFormat="1" ht="15" customHeight="1">
      <c r="A60" s="51"/>
      <c r="B60" s="71" t="s">
        <v>151</v>
      </c>
      <c r="C60" s="74">
        <v>0</v>
      </c>
    </row>
    <row r="61" spans="1:3" s="17" customFormat="1" ht="15" customHeight="1">
      <c r="A61" s="51"/>
      <c r="B61" s="71" t="s">
        <v>152</v>
      </c>
      <c r="C61" s="74">
        <v>0</v>
      </c>
    </row>
    <row r="62" spans="1:3" s="17" customFormat="1" ht="15.75">
      <c r="A62" s="51"/>
      <c r="B62" s="71" t="s">
        <v>153</v>
      </c>
      <c r="C62" s="74">
        <v>0</v>
      </c>
    </row>
    <row r="63" spans="1:3" s="17" customFormat="1" ht="15" customHeight="1">
      <c r="A63" s="51"/>
      <c r="B63" s="71" t="s">
        <v>154</v>
      </c>
      <c r="C63" s="74">
        <v>0</v>
      </c>
    </row>
    <row r="64" spans="1:3" s="17" customFormat="1" ht="15" customHeight="1">
      <c r="A64" s="51"/>
      <c r="B64" s="71" t="s">
        <v>8</v>
      </c>
      <c r="C64" s="74">
        <v>0</v>
      </c>
    </row>
    <row r="65" spans="1:3" s="17" customFormat="1" ht="15" customHeight="1">
      <c r="A65" s="51"/>
      <c r="B65" s="71" t="s">
        <v>155</v>
      </c>
      <c r="C65" s="74">
        <v>0</v>
      </c>
    </row>
    <row r="66" spans="1:3" s="17" customFormat="1" ht="15" customHeight="1">
      <c r="A66" s="52" t="s">
        <v>447</v>
      </c>
      <c r="B66" s="71" t="s">
        <v>119</v>
      </c>
      <c r="C66" s="76">
        <f>C67+C68+C69</f>
        <v>2040.7</v>
      </c>
    </row>
    <row r="67" spans="1:3" s="17" customFormat="1" ht="15" customHeight="1">
      <c r="A67" s="52" t="s">
        <v>448</v>
      </c>
      <c r="B67" s="71" t="s">
        <v>391</v>
      </c>
      <c r="C67" s="74">
        <v>0</v>
      </c>
    </row>
    <row r="68" spans="1:3" s="17" customFormat="1" ht="15" customHeight="1">
      <c r="A68" s="52"/>
      <c r="B68" s="71" t="s">
        <v>392</v>
      </c>
      <c r="C68" s="74">
        <v>1916.7</v>
      </c>
    </row>
    <row r="69" spans="1:3" s="17" customFormat="1" ht="15" customHeight="1">
      <c r="A69" s="52" t="s">
        <v>449</v>
      </c>
      <c r="B69" s="71" t="s">
        <v>156</v>
      </c>
      <c r="C69" s="74">
        <f>C70+C85</f>
        <v>124</v>
      </c>
    </row>
    <row r="70" spans="1:3" s="17" customFormat="1" ht="31.5">
      <c r="A70" s="52"/>
      <c r="B70" s="71" t="s">
        <v>450</v>
      </c>
      <c r="C70" s="76">
        <f>SUM(C71:C84)</f>
        <v>121</v>
      </c>
    </row>
    <row r="71" spans="1:3" s="17" customFormat="1" ht="15" customHeight="1">
      <c r="A71" s="52"/>
      <c r="B71" s="71" t="s">
        <v>157</v>
      </c>
      <c r="C71" s="74"/>
    </row>
    <row r="72" spans="1:3" s="17" customFormat="1" ht="15.75">
      <c r="A72" s="52"/>
      <c r="B72" s="71" t="s">
        <v>158</v>
      </c>
      <c r="C72" s="74"/>
    </row>
    <row r="73" spans="1:3" s="17" customFormat="1" ht="15" customHeight="1">
      <c r="A73" s="52"/>
      <c r="B73" s="71" t="s">
        <v>120</v>
      </c>
      <c r="C73" s="74">
        <v>0</v>
      </c>
    </row>
    <row r="74" spans="1:3" s="17" customFormat="1" ht="15" customHeight="1">
      <c r="A74" s="51"/>
      <c r="B74" s="71" t="s">
        <v>121</v>
      </c>
      <c r="C74" s="74">
        <v>0</v>
      </c>
    </row>
    <row r="75" spans="1:3" s="17" customFormat="1" ht="15" customHeight="1">
      <c r="A75" s="51"/>
      <c r="B75" s="71" t="s">
        <v>122</v>
      </c>
      <c r="C75" s="74">
        <v>0</v>
      </c>
    </row>
    <row r="76" spans="1:3" s="17" customFormat="1" ht="15" customHeight="1">
      <c r="A76" s="51"/>
      <c r="B76" s="71" t="s">
        <v>123</v>
      </c>
      <c r="C76" s="74">
        <v>0</v>
      </c>
    </row>
    <row r="77" spans="1:3" s="17" customFormat="1" ht="15" customHeight="1">
      <c r="A77" s="51"/>
      <c r="B77" s="71" t="s">
        <v>124</v>
      </c>
      <c r="C77" s="74">
        <v>0</v>
      </c>
    </row>
    <row r="78" spans="1:3" s="17" customFormat="1" ht="15" customHeight="1">
      <c r="A78" s="51"/>
      <c r="B78" s="71" t="s">
        <v>125</v>
      </c>
      <c r="C78" s="74">
        <v>0</v>
      </c>
    </row>
    <row r="79" spans="1:3" s="17" customFormat="1" ht="15" customHeight="1">
      <c r="A79" s="51"/>
      <c r="B79" s="71" t="s">
        <v>126</v>
      </c>
      <c r="C79" s="74">
        <v>0</v>
      </c>
    </row>
    <row r="80" spans="1:3" s="17" customFormat="1" ht="15" customHeight="1">
      <c r="A80" s="51"/>
      <c r="B80" s="71" t="s">
        <v>451</v>
      </c>
      <c r="C80" s="73">
        <v>0</v>
      </c>
    </row>
    <row r="81" spans="1:3" s="17" customFormat="1" ht="15" customHeight="1">
      <c r="A81" s="51"/>
      <c r="B81" s="71" t="s">
        <v>127</v>
      </c>
      <c r="C81" s="74">
        <v>0</v>
      </c>
    </row>
    <row r="82" spans="1:3" s="17" customFormat="1" ht="15" customHeight="1">
      <c r="A82" s="51"/>
      <c r="B82" s="71" t="s">
        <v>128</v>
      </c>
      <c r="C82" s="74">
        <v>0</v>
      </c>
    </row>
    <row r="83" spans="1:3" s="17" customFormat="1" ht="15" customHeight="1">
      <c r="A83" s="51"/>
      <c r="B83" s="71" t="s">
        <v>452</v>
      </c>
      <c r="C83" s="74"/>
    </row>
    <row r="84" spans="1:3" s="17" customFormat="1" ht="15" customHeight="1">
      <c r="A84" s="51"/>
      <c r="B84" s="71" t="s">
        <v>129</v>
      </c>
      <c r="C84" s="74">
        <v>121</v>
      </c>
    </row>
    <row r="85" spans="1:3" s="17" customFormat="1" ht="32.25" customHeight="1">
      <c r="A85" s="53"/>
      <c r="B85" s="71" t="s">
        <v>130</v>
      </c>
      <c r="C85" s="74">
        <f>SUM(C86:C99)</f>
        <v>3</v>
      </c>
    </row>
    <row r="86" spans="1:3" s="17" customFormat="1" ht="15" customHeight="1">
      <c r="A86" s="53"/>
      <c r="B86" s="71" t="s">
        <v>157</v>
      </c>
      <c r="C86" s="74"/>
    </row>
    <row r="87" spans="1:3" s="17" customFormat="1" ht="15" customHeight="1">
      <c r="A87" s="53"/>
      <c r="B87" s="71" t="s">
        <v>158</v>
      </c>
      <c r="C87" s="74"/>
    </row>
    <row r="88" spans="1:3" s="17" customFormat="1" ht="15" customHeight="1">
      <c r="A88" s="53"/>
      <c r="B88" s="71" t="s">
        <v>120</v>
      </c>
      <c r="C88" s="74">
        <v>3</v>
      </c>
    </row>
    <row r="89" spans="1:3" s="17" customFormat="1" ht="15" customHeight="1">
      <c r="A89" s="53"/>
      <c r="B89" s="71" t="s">
        <v>121</v>
      </c>
      <c r="C89" s="74">
        <v>0</v>
      </c>
    </row>
    <row r="90" spans="1:3" s="17" customFormat="1" ht="15" customHeight="1">
      <c r="A90" s="53"/>
      <c r="B90" s="71" t="s">
        <v>131</v>
      </c>
      <c r="C90" s="74">
        <v>0</v>
      </c>
    </row>
    <row r="91" spans="1:3" s="17" customFormat="1" ht="15" customHeight="1">
      <c r="A91" s="53"/>
      <c r="B91" s="71" t="s">
        <v>123</v>
      </c>
      <c r="C91" s="74">
        <v>0</v>
      </c>
    </row>
    <row r="92" spans="1:3" s="17" customFormat="1" ht="15" customHeight="1">
      <c r="A92" s="53"/>
      <c r="B92" s="71" t="s">
        <v>124</v>
      </c>
      <c r="C92" s="74"/>
    </row>
    <row r="93" spans="1:3" s="17" customFormat="1" ht="15" customHeight="1">
      <c r="A93" s="53"/>
      <c r="B93" s="71" t="s">
        <v>125</v>
      </c>
      <c r="C93" s="74">
        <v>0</v>
      </c>
    </row>
    <row r="94" spans="1:3" s="17" customFormat="1" ht="15" customHeight="1">
      <c r="A94" s="53"/>
      <c r="B94" s="71" t="s">
        <v>126</v>
      </c>
      <c r="C94" s="74">
        <v>0</v>
      </c>
    </row>
    <row r="95" spans="1:3" s="17" customFormat="1" ht="15" customHeight="1">
      <c r="A95" s="51"/>
      <c r="B95" s="71" t="s">
        <v>451</v>
      </c>
      <c r="C95" s="73">
        <v>0</v>
      </c>
    </row>
    <row r="96" spans="1:3" ht="15" customHeight="1">
      <c r="A96" s="53"/>
      <c r="B96" s="71" t="s">
        <v>127</v>
      </c>
      <c r="C96" s="77"/>
    </row>
    <row r="97" spans="1:3" ht="15" customHeight="1">
      <c r="A97" s="53"/>
      <c r="B97" s="71" t="s">
        <v>128</v>
      </c>
      <c r="C97" s="77">
        <v>0</v>
      </c>
    </row>
    <row r="98" spans="1:3" ht="15" customHeight="1">
      <c r="A98" s="53"/>
      <c r="B98" s="71" t="s">
        <v>452</v>
      </c>
      <c r="C98" s="77"/>
    </row>
    <row r="99" spans="1:3" ht="15" customHeight="1">
      <c r="A99" s="53"/>
      <c r="B99" s="71" t="s">
        <v>129</v>
      </c>
      <c r="C99" s="77">
        <v>0</v>
      </c>
    </row>
    <row r="100" spans="1:3" ht="32.25" customHeight="1">
      <c r="A100" s="53"/>
      <c r="B100" s="71" t="s">
        <v>160</v>
      </c>
      <c r="C100" s="77">
        <f>SUM(C101:C114)</f>
        <v>0</v>
      </c>
    </row>
    <row r="101" spans="1:3" ht="15" customHeight="1">
      <c r="A101" s="53"/>
      <c r="B101" s="71" t="s">
        <v>157</v>
      </c>
      <c r="C101" s="77">
        <v>0</v>
      </c>
    </row>
    <row r="102" spans="1:3" ht="15" customHeight="1">
      <c r="A102" s="53"/>
      <c r="B102" s="71" t="s">
        <v>158</v>
      </c>
      <c r="C102" s="77">
        <v>0</v>
      </c>
    </row>
    <row r="103" spans="1:3" ht="15" customHeight="1">
      <c r="A103" s="53"/>
      <c r="B103" s="71" t="s">
        <v>120</v>
      </c>
      <c r="C103" s="77">
        <v>0</v>
      </c>
    </row>
    <row r="104" spans="1:3" ht="15" customHeight="1">
      <c r="A104" s="53"/>
      <c r="B104" s="71" t="s">
        <v>121</v>
      </c>
      <c r="C104" s="77">
        <v>0</v>
      </c>
    </row>
    <row r="105" spans="1:3" ht="15" customHeight="1">
      <c r="A105" s="53"/>
      <c r="B105" s="71" t="s">
        <v>131</v>
      </c>
      <c r="C105" s="77">
        <v>0</v>
      </c>
    </row>
    <row r="106" spans="1:3" ht="15" customHeight="1">
      <c r="A106" s="53"/>
      <c r="B106" s="71" t="s">
        <v>123</v>
      </c>
      <c r="C106" s="77">
        <v>0</v>
      </c>
    </row>
    <row r="107" spans="1:3" ht="15" customHeight="1">
      <c r="A107" s="53"/>
      <c r="B107" s="71" t="s">
        <v>124</v>
      </c>
      <c r="C107" s="77">
        <v>0</v>
      </c>
    </row>
    <row r="108" spans="1:3" ht="15" customHeight="1">
      <c r="A108" s="53"/>
      <c r="B108" s="71" t="s">
        <v>125</v>
      </c>
      <c r="C108" s="78">
        <v>0</v>
      </c>
    </row>
    <row r="109" spans="1:3" ht="15" customHeight="1">
      <c r="A109" s="53"/>
      <c r="B109" s="71" t="s">
        <v>126</v>
      </c>
      <c r="C109" s="78">
        <v>0</v>
      </c>
    </row>
    <row r="110" spans="1:3" ht="15" customHeight="1">
      <c r="A110" s="53"/>
      <c r="B110" s="71" t="s">
        <v>127</v>
      </c>
      <c r="C110" s="78">
        <v>0</v>
      </c>
    </row>
    <row r="111" spans="1:3" ht="19.5" customHeight="1">
      <c r="A111" s="53"/>
      <c r="B111" s="71" t="s">
        <v>128</v>
      </c>
      <c r="C111" s="78">
        <v>0</v>
      </c>
    </row>
    <row r="112" spans="1:3" ht="23.25" customHeight="1">
      <c r="A112" s="53"/>
      <c r="B112" s="71" t="s">
        <v>159</v>
      </c>
      <c r="C112" s="78">
        <v>0</v>
      </c>
    </row>
    <row r="113" spans="1:3" ht="20.25" customHeight="1">
      <c r="A113" s="53"/>
      <c r="B113" s="71" t="s">
        <v>129</v>
      </c>
      <c r="C113" s="78">
        <v>0</v>
      </c>
    </row>
    <row r="114" spans="1:3" ht="20.25" customHeight="1">
      <c r="A114" s="53"/>
      <c r="B114" s="71" t="s">
        <v>453</v>
      </c>
      <c r="C114" s="78">
        <v>0</v>
      </c>
    </row>
    <row r="115" spans="1:3" ht="15.75">
      <c r="A115" s="52" t="s">
        <v>454</v>
      </c>
      <c r="B115" s="71" t="s">
        <v>455</v>
      </c>
      <c r="C115" s="78">
        <f>C130+C144+C158</f>
        <v>0</v>
      </c>
    </row>
    <row r="116" spans="1:3" ht="35.25" customHeight="1">
      <c r="A116" s="53"/>
      <c r="B116" s="71" t="s">
        <v>456</v>
      </c>
      <c r="C116" s="78">
        <f>SUM(C117:C129)</f>
        <v>0</v>
      </c>
    </row>
    <row r="117" spans="1:3" ht="18" customHeight="1">
      <c r="A117" s="53"/>
      <c r="B117" s="71" t="s">
        <v>157</v>
      </c>
      <c r="C117" s="78">
        <v>0</v>
      </c>
    </row>
    <row r="118" spans="1:3" ht="18" customHeight="1">
      <c r="A118" s="53"/>
      <c r="B118" s="71" t="s">
        <v>158</v>
      </c>
      <c r="C118" s="78">
        <v>0</v>
      </c>
    </row>
    <row r="119" spans="1:3" ht="18" customHeight="1">
      <c r="A119" s="53"/>
      <c r="B119" s="71" t="s">
        <v>120</v>
      </c>
      <c r="C119" s="78">
        <v>0</v>
      </c>
    </row>
    <row r="120" spans="1:3" ht="18" customHeight="1">
      <c r="A120" s="53"/>
      <c r="B120" s="71" t="s">
        <v>121</v>
      </c>
      <c r="C120" s="78">
        <v>0</v>
      </c>
    </row>
    <row r="121" spans="1:3" ht="18" customHeight="1">
      <c r="A121" s="53"/>
      <c r="B121" s="71" t="s">
        <v>131</v>
      </c>
      <c r="C121" s="78">
        <v>0</v>
      </c>
    </row>
    <row r="122" spans="1:3" ht="18" customHeight="1">
      <c r="A122" s="53"/>
      <c r="B122" s="71" t="s">
        <v>123</v>
      </c>
      <c r="C122" s="78">
        <v>0</v>
      </c>
    </row>
    <row r="123" spans="1:3" ht="18" customHeight="1">
      <c r="A123" s="53"/>
      <c r="B123" s="71" t="s">
        <v>124</v>
      </c>
      <c r="C123" s="78">
        <v>0</v>
      </c>
    </row>
    <row r="124" spans="1:3" ht="18" customHeight="1">
      <c r="A124" s="53"/>
      <c r="B124" s="71" t="s">
        <v>125</v>
      </c>
      <c r="C124" s="78">
        <v>0</v>
      </c>
    </row>
    <row r="125" spans="1:3" ht="18" customHeight="1">
      <c r="A125" s="53"/>
      <c r="B125" s="71" t="s">
        <v>126</v>
      </c>
      <c r="C125" s="78">
        <v>0</v>
      </c>
    </row>
    <row r="126" spans="1:3" ht="18" customHeight="1">
      <c r="A126" s="53"/>
      <c r="B126" s="71" t="s">
        <v>127</v>
      </c>
      <c r="C126" s="78">
        <v>0</v>
      </c>
    </row>
    <row r="127" spans="1:3" ht="18" customHeight="1">
      <c r="A127" s="53"/>
      <c r="B127" s="71" t="s">
        <v>128</v>
      </c>
      <c r="C127" s="78">
        <v>0</v>
      </c>
    </row>
    <row r="128" spans="1:3" ht="18" customHeight="1">
      <c r="A128" s="53"/>
      <c r="B128" s="71" t="s">
        <v>159</v>
      </c>
      <c r="C128" s="78">
        <v>0</v>
      </c>
    </row>
    <row r="129" spans="1:3" ht="18" customHeight="1">
      <c r="A129" s="53"/>
      <c r="B129" s="71" t="s">
        <v>129</v>
      </c>
      <c r="C129" s="78">
        <v>0</v>
      </c>
    </row>
    <row r="130" spans="1:3" ht="35.25" customHeight="1">
      <c r="A130" s="53"/>
      <c r="B130" s="71" t="s">
        <v>457</v>
      </c>
      <c r="C130" s="78">
        <f>SUM(C131:C143)</f>
        <v>0</v>
      </c>
    </row>
    <row r="131" spans="1:3" ht="18" customHeight="1">
      <c r="A131" s="53"/>
      <c r="B131" s="71" t="s">
        <v>157</v>
      </c>
      <c r="C131" s="78">
        <v>0</v>
      </c>
    </row>
    <row r="132" spans="1:3" ht="18" customHeight="1">
      <c r="A132" s="53"/>
      <c r="B132" s="71" t="s">
        <v>158</v>
      </c>
      <c r="C132" s="78">
        <v>0</v>
      </c>
    </row>
    <row r="133" spans="1:3" ht="18" customHeight="1">
      <c r="A133" s="53"/>
      <c r="B133" s="71" t="s">
        <v>120</v>
      </c>
      <c r="C133" s="78">
        <v>0</v>
      </c>
    </row>
    <row r="134" spans="1:3" ht="18" customHeight="1">
      <c r="A134" s="53"/>
      <c r="B134" s="71" t="s">
        <v>121</v>
      </c>
      <c r="C134" s="78">
        <v>0</v>
      </c>
    </row>
    <row r="135" spans="1:3" ht="18" customHeight="1">
      <c r="A135" s="53"/>
      <c r="B135" s="71" t="s">
        <v>131</v>
      </c>
      <c r="C135" s="78">
        <v>0</v>
      </c>
    </row>
    <row r="136" spans="1:3" ht="18" customHeight="1">
      <c r="A136" s="53"/>
      <c r="B136" s="71" t="s">
        <v>123</v>
      </c>
      <c r="C136" s="78">
        <v>0</v>
      </c>
    </row>
    <row r="137" spans="1:3" ht="18" customHeight="1">
      <c r="A137" s="53"/>
      <c r="B137" s="71" t="s">
        <v>124</v>
      </c>
      <c r="C137" s="78">
        <v>0</v>
      </c>
    </row>
    <row r="138" spans="1:3" ht="18" customHeight="1">
      <c r="A138" s="53"/>
      <c r="B138" s="71" t="s">
        <v>125</v>
      </c>
      <c r="C138" s="78">
        <v>0</v>
      </c>
    </row>
    <row r="139" spans="1:3" ht="18" customHeight="1">
      <c r="A139" s="53"/>
      <c r="B139" s="71" t="s">
        <v>126</v>
      </c>
      <c r="C139" s="78">
        <v>0</v>
      </c>
    </row>
    <row r="140" spans="1:3" ht="18" customHeight="1">
      <c r="A140" s="53"/>
      <c r="B140" s="71" t="s">
        <v>127</v>
      </c>
      <c r="C140" s="78">
        <v>0</v>
      </c>
    </row>
    <row r="141" spans="1:3" ht="18" customHeight="1">
      <c r="A141" s="53"/>
      <c r="B141" s="71" t="s">
        <v>128</v>
      </c>
      <c r="C141" s="78">
        <v>0</v>
      </c>
    </row>
    <row r="142" spans="1:3" ht="18" customHeight="1">
      <c r="A142" s="53"/>
      <c r="B142" s="71" t="s">
        <v>159</v>
      </c>
      <c r="C142" s="78">
        <v>0</v>
      </c>
    </row>
    <row r="143" spans="1:3" ht="18" customHeight="1">
      <c r="A143" s="53"/>
      <c r="B143" s="71" t="s">
        <v>129</v>
      </c>
      <c r="C143" s="78">
        <v>0</v>
      </c>
    </row>
    <row r="144" spans="1:3" ht="32.25" customHeight="1">
      <c r="A144" s="53"/>
      <c r="B144" s="71" t="s">
        <v>161</v>
      </c>
      <c r="C144" s="78">
        <f>SUM(C145:C157)</f>
        <v>0</v>
      </c>
    </row>
    <row r="145" spans="1:3" ht="18" customHeight="1">
      <c r="A145" s="53"/>
      <c r="B145" s="71" t="s">
        <v>157</v>
      </c>
      <c r="C145" s="78">
        <v>0</v>
      </c>
    </row>
    <row r="146" spans="1:3" ht="18" customHeight="1">
      <c r="A146" s="53"/>
      <c r="B146" s="71" t="s">
        <v>158</v>
      </c>
      <c r="C146" s="78">
        <v>0</v>
      </c>
    </row>
    <row r="147" spans="1:3" ht="18" customHeight="1">
      <c r="A147" s="53"/>
      <c r="B147" s="71" t="s">
        <v>120</v>
      </c>
      <c r="C147" s="78">
        <v>0</v>
      </c>
    </row>
    <row r="148" spans="1:3" ht="18" customHeight="1">
      <c r="A148" s="53"/>
      <c r="B148" s="71" t="s">
        <v>121</v>
      </c>
      <c r="C148" s="78">
        <v>0</v>
      </c>
    </row>
    <row r="149" spans="1:3" ht="18" customHeight="1">
      <c r="A149" s="53"/>
      <c r="B149" s="71" t="s">
        <v>131</v>
      </c>
      <c r="C149" s="78">
        <v>0</v>
      </c>
    </row>
    <row r="150" spans="1:3" ht="18" customHeight="1">
      <c r="A150" s="53"/>
      <c r="B150" s="71" t="s">
        <v>123</v>
      </c>
      <c r="C150" s="78">
        <v>0</v>
      </c>
    </row>
    <row r="151" spans="1:3" ht="18" customHeight="1">
      <c r="A151" s="53"/>
      <c r="B151" s="71" t="s">
        <v>124</v>
      </c>
      <c r="C151" s="78">
        <v>0</v>
      </c>
    </row>
    <row r="152" spans="1:3" ht="18" customHeight="1">
      <c r="A152" s="53"/>
      <c r="B152" s="71" t="s">
        <v>125</v>
      </c>
      <c r="C152" s="78">
        <v>0</v>
      </c>
    </row>
    <row r="153" spans="1:3" ht="18" customHeight="1">
      <c r="A153" s="53"/>
      <c r="B153" s="71" t="s">
        <v>126</v>
      </c>
      <c r="C153" s="78">
        <v>0</v>
      </c>
    </row>
    <row r="154" spans="1:3" ht="15" customHeight="1">
      <c r="A154" s="53"/>
      <c r="B154" s="71" t="s">
        <v>127</v>
      </c>
      <c r="C154" s="78">
        <v>0</v>
      </c>
    </row>
    <row r="155" spans="1:3" ht="15" customHeight="1">
      <c r="A155" s="53"/>
      <c r="B155" s="71" t="s">
        <v>128</v>
      </c>
      <c r="C155" s="78">
        <v>0</v>
      </c>
    </row>
    <row r="156" spans="1:3" ht="15" customHeight="1">
      <c r="A156" s="53"/>
      <c r="B156" s="71" t="s">
        <v>159</v>
      </c>
      <c r="C156" s="78">
        <v>0</v>
      </c>
    </row>
    <row r="157" spans="1:3" ht="15" customHeight="1">
      <c r="A157" s="53"/>
      <c r="B157" s="71" t="s">
        <v>129</v>
      </c>
      <c r="C157" s="78">
        <v>0</v>
      </c>
    </row>
    <row r="158" spans="1:3" ht="15.75" customHeight="1">
      <c r="A158" s="53"/>
      <c r="B158" s="71" t="s">
        <v>162</v>
      </c>
      <c r="C158" s="78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fitToHeight="0" fitToWidth="1" horizontalDpi="180" verticalDpi="18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8"/>
  <sheetViews>
    <sheetView view="pageBreakPreview" zoomScale="70" zoomScaleNormal="120" zoomScaleSheetLayoutView="70" workbookViewId="0" topLeftCell="A1">
      <selection activeCell="A2" sqref="A1:N16384"/>
    </sheetView>
  </sheetViews>
  <sheetFormatPr defaultColWidth="9.140625" defaultRowHeight="15"/>
  <cols>
    <col min="1" max="1" width="37.28125" style="39" customWidth="1"/>
    <col min="2" max="2" width="4.7109375" style="19" customWidth="1"/>
    <col min="3" max="3" width="8.57421875" style="19" customWidth="1"/>
    <col min="4" max="4" width="10.57421875" style="19" bestFit="1" customWidth="1"/>
    <col min="5" max="6" width="6.7109375" style="19" customWidth="1"/>
    <col min="7" max="7" width="15.00390625" style="19" bestFit="1" customWidth="1"/>
    <col min="8" max="8" width="13.421875" style="19" bestFit="1" customWidth="1"/>
    <col min="9" max="9" width="18.28125" style="19" bestFit="1" customWidth="1"/>
    <col min="10" max="10" width="16.8515625" style="19" bestFit="1" customWidth="1"/>
    <col min="11" max="11" width="5.57421875" style="19" hidden="1" customWidth="1"/>
    <col min="12" max="12" width="11.421875" style="19" hidden="1" customWidth="1"/>
    <col min="13" max="13" width="16.57421875" style="19" customWidth="1"/>
    <col min="14" max="14" width="5.28125" style="19" customWidth="1"/>
    <col min="15" max="15" width="12.8515625" style="62" customWidth="1"/>
    <col min="16" max="16" width="15.00390625" style="0" customWidth="1"/>
  </cols>
  <sheetData>
    <row r="1" spans="1:14" ht="12.75" customHeight="1">
      <c r="A1" s="625" t="s">
        <v>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2.75" customHeight="1">
      <c r="A2" s="3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2" t="s">
        <v>42</v>
      </c>
    </row>
    <row r="3" spans="1:14" ht="12.75" customHeight="1">
      <c r="A3" s="37"/>
      <c r="B3" s="20"/>
      <c r="C3" s="20"/>
      <c r="D3" s="20"/>
      <c r="E3" s="20"/>
      <c r="F3" s="20"/>
      <c r="G3" s="20"/>
      <c r="H3" s="605" t="s">
        <v>41</v>
      </c>
      <c r="I3" s="605"/>
      <c r="J3" s="605"/>
      <c r="K3" s="605"/>
      <c r="L3" s="20"/>
      <c r="M3" s="20"/>
      <c r="N3" s="20"/>
    </row>
    <row r="4" spans="1:14" ht="12.75" customHeight="1">
      <c r="A4" s="37"/>
      <c r="B4" s="20"/>
      <c r="C4" s="20"/>
      <c r="D4" s="20"/>
      <c r="E4" s="20"/>
      <c r="F4" s="20"/>
      <c r="G4" s="20"/>
      <c r="H4" s="626" t="s">
        <v>765</v>
      </c>
      <c r="I4" s="606"/>
      <c r="J4" s="606"/>
      <c r="K4" s="606"/>
      <c r="L4" s="20"/>
      <c r="M4" s="20"/>
      <c r="N4" s="20"/>
    </row>
    <row r="5" spans="1:14" ht="12.75" customHeight="1">
      <c r="A5" s="37"/>
      <c r="B5" s="20"/>
      <c r="C5" s="20"/>
      <c r="D5" s="20"/>
      <c r="E5" s="20"/>
      <c r="F5" s="20"/>
      <c r="G5" s="20"/>
      <c r="H5" s="21"/>
      <c r="I5" s="21"/>
      <c r="J5" s="21"/>
      <c r="K5" s="21"/>
      <c r="L5" s="20"/>
      <c r="M5" s="20"/>
      <c r="N5" s="20"/>
    </row>
    <row r="6" spans="1:15" s="8" customFormat="1" ht="18" customHeight="1">
      <c r="A6" s="613" t="s">
        <v>1</v>
      </c>
      <c r="B6" s="603" t="s">
        <v>45</v>
      </c>
      <c r="C6" s="627" t="s">
        <v>397</v>
      </c>
      <c r="D6" s="616" t="s">
        <v>163</v>
      </c>
      <c r="E6" s="610" t="s">
        <v>164</v>
      </c>
      <c r="F6" s="603" t="s">
        <v>165</v>
      </c>
      <c r="G6" s="619" t="s">
        <v>338</v>
      </c>
      <c r="H6" s="607" t="s">
        <v>38</v>
      </c>
      <c r="I6" s="608"/>
      <c r="J6" s="608"/>
      <c r="K6" s="608"/>
      <c r="L6" s="608"/>
      <c r="M6" s="608"/>
      <c r="N6" s="609"/>
      <c r="O6" s="63"/>
    </row>
    <row r="7" spans="1:15" s="8" customFormat="1" ht="16.5" customHeight="1">
      <c r="A7" s="614"/>
      <c r="B7" s="603"/>
      <c r="C7" s="628"/>
      <c r="D7" s="617"/>
      <c r="E7" s="604"/>
      <c r="F7" s="603"/>
      <c r="G7" s="620"/>
      <c r="H7" s="610" t="s">
        <v>33</v>
      </c>
      <c r="I7" s="603" t="s">
        <v>4</v>
      </c>
      <c r="J7" s="603"/>
      <c r="K7" s="603"/>
      <c r="L7" s="603"/>
      <c r="M7" s="603"/>
      <c r="N7" s="603"/>
      <c r="O7" s="63"/>
    </row>
    <row r="8" spans="1:15" s="8" customFormat="1" ht="68.25" customHeight="1">
      <c r="A8" s="614"/>
      <c r="B8" s="603"/>
      <c r="C8" s="628"/>
      <c r="D8" s="617"/>
      <c r="E8" s="604"/>
      <c r="F8" s="603"/>
      <c r="G8" s="620"/>
      <c r="H8" s="604"/>
      <c r="I8" s="611" t="s">
        <v>398</v>
      </c>
      <c r="J8" s="623" t="s">
        <v>166</v>
      </c>
      <c r="K8" s="602" t="s">
        <v>34</v>
      </c>
      <c r="L8" s="604" t="s">
        <v>35</v>
      </c>
      <c r="M8" s="602" t="s">
        <v>50</v>
      </c>
      <c r="N8" s="602"/>
      <c r="O8" s="63"/>
    </row>
    <row r="9" spans="1:15" s="8" customFormat="1" ht="30.75" customHeight="1">
      <c r="A9" s="615"/>
      <c r="B9" s="603"/>
      <c r="C9" s="629"/>
      <c r="D9" s="618"/>
      <c r="E9" s="602"/>
      <c r="F9" s="603"/>
      <c r="G9" s="621"/>
      <c r="H9" s="602"/>
      <c r="I9" s="612"/>
      <c r="J9" s="624"/>
      <c r="K9" s="603"/>
      <c r="L9" s="602"/>
      <c r="M9" s="41" t="s">
        <v>36</v>
      </c>
      <c r="N9" s="41" t="s">
        <v>37</v>
      </c>
      <c r="O9" s="63"/>
    </row>
    <row r="10" spans="1:15" s="9" customFormat="1" ht="12">
      <c r="A10" s="23">
        <v>2</v>
      </c>
      <c r="B10" s="23">
        <v>3</v>
      </c>
      <c r="C10" s="23"/>
      <c r="D10" s="23">
        <v>4</v>
      </c>
      <c r="E10" s="23">
        <v>5</v>
      </c>
      <c r="F10" s="23">
        <v>6</v>
      </c>
      <c r="G10" s="23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64"/>
    </row>
    <row r="11" spans="1:16" s="167" customFormat="1" ht="12.75">
      <c r="A11" s="102" t="s">
        <v>43</v>
      </c>
      <c r="B11" s="164">
        <v>100</v>
      </c>
      <c r="C11" s="164"/>
      <c r="D11" s="164"/>
      <c r="E11" s="164"/>
      <c r="F11" s="164" t="s">
        <v>10</v>
      </c>
      <c r="G11" s="165"/>
      <c r="H11" s="166">
        <f>H13+H17+H57</f>
        <v>66204959.14</v>
      </c>
      <c r="I11" s="166">
        <f>I17</f>
        <v>46600575.79</v>
      </c>
      <c r="J11" s="166">
        <f>J57</f>
        <v>6010660.31</v>
      </c>
      <c r="K11" s="166">
        <f>K58</f>
        <v>0</v>
      </c>
      <c r="L11" s="166">
        <f>L17</f>
        <v>0</v>
      </c>
      <c r="M11" s="166">
        <f>M13+M17+M56+M84</f>
        <v>13481583.04</v>
      </c>
      <c r="N11" s="166">
        <f>N17+N84</f>
        <v>0</v>
      </c>
      <c r="P11" s="166"/>
    </row>
    <row r="12" spans="1:14" s="106" customFormat="1" ht="12.75">
      <c r="A12" s="107" t="s">
        <v>3</v>
      </c>
      <c r="B12" s="108"/>
      <c r="C12" s="108"/>
      <c r="D12" s="108"/>
      <c r="E12" s="108"/>
      <c r="F12" s="108"/>
      <c r="G12" s="109"/>
      <c r="H12" s="110"/>
      <c r="I12" s="110"/>
      <c r="J12" s="110"/>
      <c r="K12" s="111"/>
      <c r="L12" s="111"/>
      <c r="M12" s="112"/>
      <c r="N12" s="111"/>
    </row>
    <row r="13" spans="1:14" s="172" customFormat="1" ht="17.25" customHeight="1">
      <c r="A13" s="168" t="s">
        <v>32</v>
      </c>
      <c r="B13" s="156">
        <v>110</v>
      </c>
      <c r="C13" s="156">
        <v>120</v>
      </c>
      <c r="D13" s="169" t="s">
        <v>521</v>
      </c>
      <c r="E13" s="156"/>
      <c r="F13" s="156">
        <v>120</v>
      </c>
      <c r="G13" s="170" t="s">
        <v>363</v>
      </c>
      <c r="H13" s="158">
        <f>M13</f>
        <v>723583.04</v>
      </c>
      <c r="I13" s="156" t="s">
        <v>74</v>
      </c>
      <c r="J13" s="156" t="s">
        <v>74</v>
      </c>
      <c r="K13" s="171" t="s">
        <v>10</v>
      </c>
      <c r="L13" s="171" t="s">
        <v>10</v>
      </c>
      <c r="M13" s="161">
        <f>M15+M16</f>
        <v>723583.04</v>
      </c>
      <c r="N13" s="171" t="s">
        <v>10</v>
      </c>
    </row>
    <row r="14" spans="1:14" s="120" customFormat="1" ht="12.75">
      <c r="A14" s="113" t="s">
        <v>364</v>
      </c>
      <c r="B14" s="114"/>
      <c r="C14" s="114"/>
      <c r="D14" s="115"/>
      <c r="E14" s="114"/>
      <c r="F14" s="114"/>
      <c r="G14" s="121"/>
      <c r="H14" s="117"/>
      <c r="I14" s="121"/>
      <c r="J14" s="114"/>
      <c r="K14" s="118"/>
      <c r="L14" s="122"/>
      <c r="M14" s="117"/>
      <c r="N14" s="122"/>
    </row>
    <row r="15" spans="1:14" s="120" customFormat="1" ht="14.25" customHeight="1">
      <c r="A15" s="113" t="s">
        <v>365</v>
      </c>
      <c r="B15" s="114"/>
      <c r="C15" s="114">
        <v>121</v>
      </c>
      <c r="D15" s="115" t="s">
        <v>521</v>
      </c>
      <c r="E15" s="114"/>
      <c r="F15" s="114">
        <v>121</v>
      </c>
      <c r="G15" s="116" t="s">
        <v>363</v>
      </c>
      <c r="H15" s="117">
        <f>SUM(I15:M15)</f>
        <v>673583.04</v>
      </c>
      <c r="I15" s="121"/>
      <c r="J15" s="114"/>
      <c r="K15" s="118"/>
      <c r="L15" s="122"/>
      <c r="M15" s="117">
        <f>673583.04</f>
        <v>673583.04</v>
      </c>
      <c r="N15" s="122"/>
    </row>
    <row r="16" spans="1:14" s="120" customFormat="1" ht="24.75" customHeight="1">
      <c r="A16" s="113" t="s">
        <v>366</v>
      </c>
      <c r="B16" s="114"/>
      <c r="C16" s="114">
        <v>124</v>
      </c>
      <c r="D16" s="115" t="s">
        <v>521</v>
      </c>
      <c r="E16" s="114"/>
      <c r="F16" s="114">
        <v>124</v>
      </c>
      <c r="G16" s="116" t="s">
        <v>363</v>
      </c>
      <c r="H16" s="117">
        <f>SUM(I16:M16)</f>
        <v>50000</v>
      </c>
      <c r="I16" s="121"/>
      <c r="J16" s="114"/>
      <c r="K16" s="118"/>
      <c r="L16" s="122"/>
      <c r="M16" s="117">
        <v>50000</v>
      </c>
      <c r="N16" s="122"/>
    </row>
    <row r="17" spans="1:14" s="172" customFormat="1" ht="23.25" customHeight="1">
      <c r="A17" s="168" t="s">
        <v>367</v>
      </c>
      <c r="B17" s="156">
        <v>120</v>
      </c>
      <c r="C17" s="156">
        <v>130</v>
      </c>
      <c r="D17" s="169" t="s">
        <v>521</v>
      </c>
      <c r="E17" s="156"/>
      <c r="F17" s="156">
        <v>130</v>
      </c>
      <c r="G17" s="170" t="s">
        <v>363</v>
      </c>
      <c r="H17" s="180">
        <f>I17+L17+M17+N17</f>
        <v>59470715.79</v>
      </c>
      <c r="I17" s="180">
        <f>I22+I24+I26+I27+I28+I29+I30+I38+I40+I23+I25+I19+I20+I18+I39+I41</f>
        <v>46600575.79</v>
      </c>
      <c r="J17" s="156" t="s">
        <v>74</v>
      </c>
      <c r="K17" s="156" t="s">
        <v>74</v>
      </c>
      <c r="L17" s="180">
        <f>L18+L20+L22+L26+L28+L30+L31+L32+L33+L34+L35+L36+L37+L38+L40+L42+L45+L46</f>
        <v>0</v>
      </c>
      <c r="M17" s="180">
        <f>M18+M20+M22+M26+M28+M30+M31+M32+M33+M34+M35+M36+M37+M38+M40+M42+M45+M46+M21+M47+M43+M48+M44</f>
        <v>12870140</v>
      </c>
      <c r="N17" s="180">
        <f>N18+N20+N22+N26+N28+N30+N31+N32+N33+N34+N35+N36+N37</f>
        <v>0</v>
      </c>
    </row>
    <row r="18" spans="1:14" s="106" customFormat="1" ht="27.75" customHeight="1">
      <c r="A18" s="123" t="s">
        <v>342</v>
      </c>
      <c r="B18" s="114"/>
      <c r="C18" s="114">
        <v>131</v>
      </c>
      <c r="D18" s="115" t="s">
        <v>522</v>
      </c>
      <c r="E18" s="114"/>
      <c r="F18" s="114">
        <v>131</v>
      </c>
      <c r="G18" s="179" t="s">
        <v>524</v>
      </c>
      <c r="H18" s="124">
        <f aca="true" t="shared" si="0" ref="H18:H48">I18+J18+K18+L18+M18</f>
        <v>983705.2</v>
      </c>
      <c r="I18" s="159">
        <v>983705.2</v>
      </c>
      <c r="J18" s="124">
        <v>0</v>
      </c>
      <c r="K18" s="111"/>
      <c r="L18" s="110"/>
      <c r="M18" s="124">
        <v>0</v>
      </c>
      <c r="N18" s="124"/>
    </row>
    <row r="19" spans="1:14" s="106" customFormat="1" ht="27.75" customHeight="1">
      <c r="A19" s="123" t="s">
        <v>342</v>
      </c>
      <c r="B19" s="114"/>
      <c r="C19" s="114">
        <v>131</v>
      </c>
      <c r="D19" s="115" t="s">
        <v>522</v>
      </c>
      <c r="E19" s="114"/>
      <c r="F19" s="114">
        <v>131</v>
      </c>
      <c r="G19" s="179" t="s">
        <v>525</v>
      </c>
      <c r="H19" s="124">
        <f>I19+J19+K19+L19+M19</f>
        <v>9933442.47</v>
      </c>
      <c r="I19" s="159">
        <f>10917147.67-I18</f>
        <v>9933442.47</v>
      </c>
      <c r="J19" s="124">
        <v>0</v>
      </c>
      <c r="K19" s="111"/>
      <c r="L19" s="110"/>
      <c r="M19" s="124">
        <v>0</v>
      </c>
      <c r="N19" s="124"/>
    </row>
    <row r="20" spans="1:14" s="106" customFormat="1" ht="12" customHeight="1">
      <c r="A20" s="113" t="s">
        <v>343</v>
      </c>
      <c r="B20" s="114"/>
      <c r="C20" s="114">
        <v>131</v>
      </c>
      <c r="D20" s="115" t="s">
        <v>522</v>
      </c>
      <c r="E20" s="114"/>
      <c r="F20" s="114">
        <v>131</v>
      </c>
      <c r="G20" s="179" t="s">
        <v>524</v>
      </c>
      <c r="H20" s="124">
        <f t="shared" si="0"/>
        <v>1538941.79</v>
      </c>
      <c r="I20" s="159">
        <v>1538941.79</v>
      </c>
      <c r="J20" s="124">
        <v>0</v>
      </c>
      <c r="K20" s="111"/>
      <c r="L20" s="110"/>
      <c r="M20" s="124">
        <v>0</v>
      </c>
      <c r="N20" s="124"/>
    </row>
    <row r="21" spans="1:14" s="120" customFormat="1" ht="12" customHeight="1">
      <c r="A21" s="113" t="s">
        <v>343</v>
      </c>
      <c r="B21" s="114"/>
      <c r="C21" s="114">
        <v>131</v>
      </c>
      <c r="D21" s="115" t="s">
        <v>521</v>
      </c>
      <c r="E21" s="114"/>
      <c r="F21" s="114">
        <v>131</v>
      </c>
      <c r="G21" s="116" t="s">
        <v>363</v>
      </c>
      <c r="H21" s="117">
        <f t="shared" si="0"/>
        <v>2710000</v>
      </c>
      <c r="I21" s="117">
        <v>0</v>
      </c>
      <c r="J21" s="117">
        <v>0</v>
      </c>
      <c r="K21" s="118"/>
      <c r="L21" s="122"/>
      <c r="M21" s="158">
        <v>2710000</v>
      </c>
      <c r="N21" s="117"/>
    </row>
    <row r="22" spans="1:14" s="106" customFormat="1" ht="39" customHeight="1">
      <c r="A22" s="483" t="s">
        <v>344</v>
      </c>
      <c r="B22" s="108"/>
      <c r="C22" s="108">
        <v>131</v>
      </c>
      <c r="D22" s="115" t="s">
        <v>522</v>
      </c>
      <c r="E22" s="108"/>
      <c r="F22" s="108">
        <v>131</v>
      </c>
      <c r="G22" s="101" t="s">
        <v>526</v>
      </c>
      <c r="H22" s="124">
        <f t="shared" si="0"/>
        <v>9242511.84</v>
      </c>
      <c r="I22" s="124">
        <f>9242511.84-2306830.51+2306830.51</f>
        <v>9242511.84</v>
      </c>
      <c r="J22" s="124"/>
      <c r="K22" s="111"/>
      <c r="L22" s="110"/>
      <c r="M22" s="124"/>
      <c r="N22" s="124"/>
    </row>
    <row r="23" spans="1:14" s="106" customFormat="1" ht="39" customHeight="1" hidden="1">
      <c r="A23" s="483" t="s">
        <v>344</v>
      </c>
      <c r="B23" s="108"/>
      <c r="C23" s="108">
        <v>131</v>
      </c>
      <c r="D23" s="115" t="s">
        <v>522</v>
      </c>
      <c r="E23" s="108"/>
      <c r="F23" s="108">
        <v>131</v>
      </c>
      <c r="G23" s="101" t="s">
        <v>526</v>
      </c>
      <c r="H23" s="124">
        <f t="shared" si="0"/>
        <v>0</v>
      </c>
      <c r="I23" s="159"/>
      <c r="J23" s="124"/>
      <c r="K23" s="111"/>
      <c r="L23" s="110"/>
      <c r="M23" s="124"/>
      <c r="N23" s="124"/>
    </row>
    <row r="24" spans="1:14" s="106" customFormat="1" ht="39" customHeight="1">
      <c r="A24" s="107" t="s">
        <v>344</v>
      </c>
      <c r="B24" s="108"/>
      <c r="C24" s="108">
        <v>131</v>
      </c>
      <c r="D24" s="115" t="s">
        <v>522</v>
      </c>
      <c r="E24" s="108"/>
      <c r="F24" s="108">
        <v>131</v>
      </c>
      <c r="G24" s="101" t="s">
        <v>527</v>
      </c>
      <c r="H24" s="124">
        <f t="shared" si="0"/>
        <v>2160755</v>
      </c>
      <c r="I24" s="124">
        <f>2160755-476344.28+476344.28</f>
        <v>2160755</v>
      </c>
      <c r="J24" s="124"/>
      <c r="K24" s="111"/>
      <c r="L24" s="110"/>
      <c r="M24" s="124"/>
      <c r="N24" s="124"/>
    </row>
    <row r="25" spans="1:14" s="106" customFormat="1" ht="39" customHeight="1" hidden="1">
      <c r="A25" s="107" t="s">
        <v>344</v>
      </c>
      <c r="B25" s="108"/>
      <c r="C25" s="108">
        <v>131</v>
      </c>
      <c r="D25" s="115" t="s">
        <v>522</v>
      </c>
      <c r="E25" s="108"/>
      <c r="F25" s="108">
        <v>131</v>
      </c>
      <c r="G25" s="101" t="s">
        <v>527</v>
      </c>
      <c r="H25" s="124">
        <f t="shared" si="0"/>
        <v>0</v>
      </c>
      <c r="I25" s="159"/>
      <c r="J25" s="124"/>
      <c r="K25" s="111"/>
      <c r="L25" s="110"/>
      <c r="M25" s="124"/>
      <c r="N25" s="124"/>
    </row>
    <row r="26" spans="1:14" s="106" customFormat="1" ht="40.5" customHeight="1">
      <c r="A26" s="483" t="s">
        <v>345</v>
      </c>
      <c r="B26" s="108"/>
      <c r="C26" s="108">
        <v>131</v>
      </c>
      <c r="D26" s="115" t="s">
        <v>522</v>
      </c>
      <c r="E26" s="108"/>
      <c r="F26" s="108">
        <v>131</v>
      </c>
      <c r="G26" s="101" t="s">
        <v>526</v>
      </c>
      <c r="H26" s="124">
        <f t="shared" si="0"/>
        <v>11154833.07</v>
      </c>
      <c r="I26" s="124">
        <f>12754448.31-I27</f>
        <v>11154833.07</v>
      </c>
      <c r="J26" s="124"/>
      <c r="K26" s="111"/>
      <c r="L26" s="110"/>
      <c r="M26" s="124"/>
      <c r="N26" s="124"/>
    </row>
    <row r="27" spans="1:14" s="106" customFormat="1" ht="41.25" customHeight="1">
      <c r="A27" s="107" t="s">
        <v>345</v>
      </c>
      <c r="B27" s="108"/>
      <c r="C27" s="108">
        <v>131</v>
      </c>
      <c r="D27" s="115" t="s">
        <v>522</v>
      </c>
      <c r="E27" s="108"/>
      <c r="F27" s="108">
        <v>131</v>
      </c>
      <c r="G27" s="101" t="s">
        <v>527</v>
      </c>
      <c r="H27" s="124">
        <f>I27+J27+K27+L27+M27</f>
        <v>1599615.24</v>
      </c>
      <c r="I27" s="124">
        <v>1599615.24</v>
      </c>
      <c r="J27" s="124"/>
      <c r="K27" s="111"/>
      <c r="L27" s="110"/>
      <c r="M27" s="124"/>
      <c r="N27" s="124"/>
    </row>
    <row r="28" spans="1:14" s="106" customFormat="1" ht="41.25" customHeight="1">
      <c r="A28" s="107" t="s">
        <v>346</v>
      </c>
      <c r="B28" s="108"/>
      <c r="C28" s="108">
        <v>131</v>
      </c>
      <c r="D28" s="115" t="s">
        <v>522</v>
      </c>
      <c r="E28" s="108"/>
      <c r="F28" s="108">
        <v>131</v>
      </c>
      <c r="G28" s="101" t="s">
        <v>526</v>
      </c>
      <c r="H28" s="124">
        <f t="shared" si="0"/>
        <v>3993904.2</v>
      </c>
      <c r="I28" s="124">
        <f>4535670.21-I29</f>
        <v>3993904.2</v>
      </c>
      <c r="J28" s="124"/>
      <c r="K28" s="111"/>
      <c r="L28" s="110"/>
      <c r="M28" s="124"/>
      <c r="N28" s="124"/>
    </row>
    <row r="29" spans="1:14" s="106" customFormat="1" ht="37.5" customHeight="1">
      <c r="A29" s="107" t="s">
        <v>346</v>
      </c>
      <c r="B29" s="108"/>
      <c r="C29" s="108">
        <v>131</v>
      </c>
      <c r="D29" s="115" t="s">
        <v>522</v>
      </c>
      <c r="E29" s="108"/>
      <c r="F29" s="108">
        <v>131</v>
      </c>
      <c r="G29" s="101" t="s">
        <v>527</v>
      </c>
      <c r="H29" s="124">
        <f>I29+J29+K29+L29+M29</f>
        <v>541766.01</v>
      </c>
      <c r="I29" s="124">
        <v>541766.01</v>
      </c>
      <c r="J29" s="124"/>
      <c r="K29" s="111"/>
      <c r="L29" s="110"/>
      <c r="M29" s="124"/>
      <c r="N29" s="124"/>
    </row>
    <row r="30" spans="1:14" s="106" customFormat="1" ht="12" customHeight="1">
      <c r="A30" s="107" t="s">
        <v>799</v>
      </c>
      <c r="B30" s="108"/>
      <c r="C30" s="108">
        <v>131</v>
      </c>
      <c r="D30" s="115" t="s">
        <v>522</v>
      </c>
      <c r="E30" s="108"/>
      <c r="F30" s="108">
        <v>131</v>
      </c>
      <c r="G30" s="80" t="s">
        <v>470</v>
      </c>
      <c r="H30" s="124">
        <f t="shared" si="0"/>
        <v>312180</v>
      </c>
      <c r="I30" s="124">
        <v>312180</v>
      </c>
      <c r="J30" s="124"/>
      <c r="K30" s="111"/>
      <c r="L30" s="110"/>
      <c r="M30" s="124"/>
      <c r="N30" s="124"/>
    </row>
    <row r="31" spans="1:14" s="106" customFormat="1" ht="27.75" customHeight="1">
      <c r="A31" s="125" t="s">
        <v>517</v>
      </c>
      <c r="B31" s="108"/>
      <c r="C31" s="108">
        <v>131</v>
      </c>
      <c r="D31" s="115" t="s">
        <v>522</v>
      </c>
      <c r="E31" s="108"/>
      <c r="F31" s="108">
        <v>131</v>
      </c>
      <c r="G31" s="109"/>
      <c r="H31" s="124">
        <f t="shared" si="0"/>
        <v>0</v>
      </c>
      <c r="I31" s="124">
        <v>0</v>
      </c>
      <c r="J31" s="124"/>
      <c r="K31" s="111"/>
      <c r="L31" s="110"/>
      <c r="M31" s="124"/>
      <c r="N31" s="124"/>
    </row>
    <row r="32" spans="1:14" s="106" customFormat="1" ht="44.25" customHeight="1">
      <c r="A32" s="107" t="s">
        <v>348</v>
      </c>
      <c r="B32" s="108"/>
      <c r="C32" s="108">
        <v>131</v>
      </c>
      <c r="D32" s="115" t="s">
        <v>522</v>
      </c>
      <c r="E32" s="108"/>
      <c r="F32" s="108">
        <v>131</v>
      </c>
      <c r="G32" s="109"/>
      <c r="H32" s="124">
        <f t="shared" si="0"/>
        <v>0</v>
      </c>
      <c r="I32" s="124">
        <v>0</v>
      </c>
      <c r="J32" s="124"/>
      <c r="K32" s="111"/>
      <c r="L32" s="110"/>
      <c r="M32" s="124"/>
      <c r="N32" s="124"/>
    </row>
    <row r="33" spans="1:14" s="106" customFormat="1" ht="22.5" customHeight="1">
      <c r="A33" s="113" t="s">
        <v>349</v>
      </c>
      <c r="B33" s="114"/>
      <c r="C33" s="114">
        <v>131</v>
      </c>
      <c r="D33" s="115" t="s">
        <v>522</v>
      </c>
      <c r="E33" s="114"/>
      <c r="F33" s="114">
        <v>131</v>
      </c>
      <c r="G33" s="121"/>
      <c r="H33" s="117">
        <f t="shared" si="0"/>
        <v>0</v>
      </c>
      <c r="I33" s="124">
        <v>0</v>
      </c>
      <c r="J33" s="124"/>
      <c r="K33" s="111"/>
      <c r="L33" s="110"/>
      <c r="M33" s="124"/>
      <c r="N33" s="124"/>
    </row>
    <row r="34" spans="1:14" s="106" customFormat="1" ht="31.5" customHeight="1">
      <c r="A34" s="126" t="s">
        <v>350</v>
      </c>
      <c r="B34" s="114"/>
      <c r="C34" s="114">
        <v>131</v>
      </c>
      <c r="D34" s="115" t="s">
        <v>522</v>
      </c>
      <c r="E34" s="114"/>
      <c r="F34" s="114">
        <v>131</v>
      </c>
      <c r="G34" s="121"/>
      <c r="H34" s="117">
        <f t="shared" si="0"/>
        <v>0</v>
      </c>
      <c r="I34" s="124">
        <v>0</v>
      </c>
      <c r="J34" s="124"/>
      <c r="K34" s="111"/>
      <c r="L34" s="110"/>
      <c r="M34" s="124"/>
      <c r="N34" s="124"/>
    </row>
    <row r="35" spans="1:14" s="106" customFormat="1" ht="43.5" customHeight="1">
      <c r="A35" s="113" t="s">
        <v>351</v>
      </c>
      <c r="B35" s="114"/>
      <c r="C35" s="114">
        <v>131</v>
      </c>
      <c r="D35" s="115" t="s">
        <v>522</v>
      </c>
      <c r="E35" s="114"/>
      <c r="F35" s="114">
        <v>131</v>
      </c>
      <c r="G35" s="121"/>
      <c r="H35" s="117">
        <f t="shared" si="0"/>
        <v>0</v>
      </c>
      <c r="I35" s="124">
        <v>0</v>
      </c>
      <c r="J35" s="124"/>
      <c r="K35" s="111"/>
      <c r="L35" s="110"/>
      <c r="M35" s="124"/>
      <c r="N35" s="124"/>
    </row>
    <row r="36" spans="1:14" s="106" customFormat="1" ht="33" customHeight="1">
      <c r="A36" s="113" t="s">
        <v>352</v>
      </c>
      <c r="B36" s="114"/>
      <c r="C36" s="114">
        <v>131</v>
      </c>
      <c r="D36" s="115" t="s">
        <v>522</v>
      </c>
      <c r="E36" s="114"/>
      <c r="F36" s="114">
        <v>131</v>
      </c>
      <c r="G36" s="121"/>
      <c r="H36" s="117">
        <f t="shared" si="0"/>
        <v>0</v>
      </c>
      <c r="I36" s="124">
        <v>0</v>
      </c>
      <c r="J36" s="124"/>
      <c r="K36" s="111"/>
      <c r="L36" s="110"/>
      <c r="M36" s="124"/>
      <c r="N36" s="124"/>
    </row>
    <row r="37" spans="1:14" s="106" customFormat="1" ht="33.75" customHeight="1">
      <c r="A37" s="113" t="s">
        <v>353</v>
      </c>
      <c r="B37" s="114"/>
      <c r="C37" s="114">
        <v>131</v>
      </c>
      <c r="D37" s="115" t="s">
        <v>522</v>
      </c>
      <c r="E37" s="114"/>
      <c r="F37" s="114">
        <v>131</v>
      </c>
      <c r="G37" s="121"/>
      <c r="H37" s="117">
        <f t="shared" si="0"/>
        <v>0</v>
      </c>
      <c r="I37" s="124">
        <v>0</v>
      </c>
      <c r="J37" s="124"/>
      <c r="K37" s="111"/>
      <c r="L37" s="110"/>
      <c r="M37" s="124"/>
      <c r="N37" s="124"/>
    </row>
    <row r="38" spans="1:14" s="106" customFormat="1" ht="25.5">
      <c r="A38" s="113" t="s">
        <v>51</v>
      </c>
      <c r="B38" s="114"/>
      <c r="C38" s="114">
        <v>131</v>
      </c>
      <c r="D38" s="115" t="s">
        <v>522</v>
      </c>
      <c r="E38" s="114"/>
      <c r="F38" s="114">
        <v>131</v>
      </c>
      <c r="G38" s="101" t="s">
        <v>527</v>
      </c>
      <c r="H38" s="117">
        <f t="shared" si="0"/>
        <v>1097033.97</v>
      </c>
      <c r="I38" s="124">
        <f>805176-15436.03+307294</f>
        <v>1097033.97</v>
      </c>
      <c r="J38" s="124"/>
      <c r="K38" s="111"/>
      <c r="L38" s="110"/>
      <c r="M38" s="124"/>
      <c r="N38" s="124"/>
    </row>
    <row r="39" spans="1:14" s="106" customFormat="1" ht="25.5" hidden="1">
      <c r="A39" s="113" t="s">
        <v>51</v>
      </c>
      <c r="B39" s="114"/>
      <c r="C39" s="114">
        <v>131</v>
      </c>
      <c r="D39" s="115" t="s">
        <v>522</v>
      </c>
      <c r="E39" s="114"/>
      <c r="F39" s="114">
        <v>131</v>
      </c>
      <c r="G39" s="101" t="s">
        <v>527</v>
      </c>
      <c r="H39" s="117">
        <f t="shared" si="0"/>
        <v>0</v>
      </c>
      <c r="I39" s="485"/>
      <c r="J39" s="124"/>
      <c r="K39" s="111"/>
      <c r="L39" s="110"/>
      <c r="M39" s="124"/>
      <c r="N39" s="124"/>
    </row>
    <row r="40" spans="1:14" s="106" customFormat="1" ht="15.75" customHeight="1">
      <c r="A40" s="113" t="s">
        <v>52</v>
      </c>
      <c r="B40" s="114"/>
      <c r="C40" s="114">
        <v>131</v>
      </c>
      <c r="D40" s="115" t="s">
        <v>522</v>
      </c>
      <c r="E40" s="114"/>
      <c r="F40" s="114">
        <v>131</v>
      </c>
      <c r="G40" s="101" t="s">
        <v>527</v>
      </c>
      <c r="H40" s="117">
        <f t="shared" si="0"/>
        <v>4041887</v>
      </c>
      <c r="I40" s="124">
        <f>2959713+1082174</f>
        <v>4041887</v>
      </c>
      <c r="J40" s="124"/>
      <c r="K40" s="111"/>
      <c r="L40" s="110"/>
      <c r="M40" s="124"/>
      <c r="N40" s="124"/>
    </row>
    <row r="41" spans="1:14" s="106" customFormat="1" ht="15.75" customHeight="1" hidden="1">
      <c r="A41" s="113" t="s">
        <v>52</v>
      </c>
      <c r="B41" s="114"/>
      <c r="C41" s="114">
        <v>131</v>
      </c>
      <c r="D41" s="115" t="s">
        <v>522</v>
      </c>
      <c r="E41" s="114"/>
      <c r="F41" s="114">
        <v>131</v>
      </c>
      <c r="G41" s="101" t="s">
        <v>527</v>
      </c>
      <c r="H41" s="117">
        <f t="shared" si="0"/>
        <v>0</v>
      </c>
      <c r="I41" s="159"/>
      <c r="J41" s="124"/>
      <c r="K41" s="111"/>
      <c r="L41" s="110"/>
      <c r="M41" s="124"/>
      <c r="N41" s="124"/>
    </row>
    <row r="42" spans="1:14" s="127" customFormat="1" ht="15.75" customHeight="1">
      <c r="A42" s="113" t="s">
        <v>46</v>
      </c>
      <c r="B42" s="114"/>
      <c r="C42" s="114">
        <v>131</v>
      </c>
      <c r="D42" s="115" t="s">
        <v>521</v>
      </c>
      <c r="E42" s="114"/>
      <c r="F42" s="114">
        <v>131</v>
      </c>
      <c r="G42" s="116" t="s">
        <v>363</v>
      </c>
      <c r="H42" s="117">
        <f t="shared" si="0"/>
        <v>7906140</v>
      </c>
      <c r="I42" s="117"/>
      <c r="J42" s="117"/>
      <c r="K42" s="118"/>
      <c r="L42" s="122"/>
      <c r="M42" s="117">
        <f>5661000+1441000+692000+50000+62140</f>
        <v>7906140</v>
      </c>
      <c r="N42" s="117"/>
    </row>
    <row r="43" spans="1:14" s="127" customFormat="1" ht="15.75" customHeight="1" hidden="1">
      <c r="A43" s="113" t="s">
        <v>46</v>
      </c>
      <c r="B43" s="114"/>
      <c r="C43" s="114">
        <v>131</v>
      </c>
      <c r="D43" s="115" t="s">
        <v>521</v>
      </c>
      <c r="E43" s="114"/>
      <c r="F43" s="114">
        <v>131</v>
      </c>
      <c r="G43" s="116" t="s">
        <v>363</v>
      </c>
      <c r="H43" s="117">
        <f>I43+J43+K43+L43+M43</f>
        <v>0</v>
      </c>
      <c r="I43" s="117"/>
      <c r="J43" s="117"/>
      <c r="K43" s="118"/>
      <c r="L43" s="122"/>
      <c r="M43" s="158"/>
      <c r="N43" s="117"/>
    </row>
    <row r="44" spans="1:14" s="127" customFormat="1" ht="15.75" customHeight="1" hidden="1">
      <c r="A44" s="113" t="s">
        <v>48</v>
      </c>
      <c r="B44" s="114"/>
      <c r="C44" s="114">
        <v>131</v>
      </c>
      <c r="D44" s="115" t="s">
        <v>521</v>
      </c>
      <c r="E44" s="114"/>
      <c r="F44" s="114">
        <v>131</v>
      </c>
      <c r="G44" s="116" t="s">
        <v>363</v>
      </c>
      <c r="H44" s="117">
        <f>I44+J44+K44+L44+M44</f>
        <v>0</v>
      </c>
      <c r="I44" s="117"/>
      <c r="J44" s="117"/>
      <c r="K44" s="118"/>
      <c r="L44" s="122"/>
      <c r="M44" s="158"/>
      <c r="N44" s="117"/>
    </row>
    <row r="45" spans="1:14" s="127" customFormat="1" ht="15.75" customHeight="1">
      <c r="A45" s="113" t="s">
        <v>48</v>
      </c>
      <c r="B45" s="114"/>
      <c r="C45" s="114">
        <v>131</v>
      </c>
      <c r="D45" s="115" t="s">
        <v>521</v>
      </c>
      <c r="E45" s="114"/>
      <c r="F45" s="114">
        <v>131</v>
      </c>
      <c r="G45" s="116" t="s">
        <v>363</v>
      </c>
      <c r="H45" s="117">
        <f>I45+J45+K45+L45+M45</f>
        <v>1890000</v>
      </c>
      <c r="I45" s="117"/>
      <c r="J45" s="117"/>
      <c r="K45" s="118"/>
      <c r="L45" s="122"/>
      <c r="M45" s="158">
        <f>1770000+120000</f>
        <v>1890000</v>
      </c>
      <c r="N45" s="117"/>
    </row>
    <row r="46" spans="1:14" s="127" customFormat="1" ht="15.75" customHeight="1">
      <c r="A46" s="113" t="s">
        <v>368</v>
      </c>
      <c r="B46" s="114"/>
      <c r="C46" s="114">
        <v>134</v>
      </c>
      <c r="D46" s="115" t="s">
        <v>521</v>
      </c>
      <c r="E46" s="114"/>
      <c r="F46" s="114">
        <v>134</v>
      </c>
      <c r="G46" s="116" t="s">
        <v>363</v>
      </c>
      <c r="H46" s="117">
        <f t="shared" si="0"/>
        <v>0</v>
      </c>
      <c r="I46" s="117"/>
      <c r="J46" s="117"/>
      <c r="K46" s="118"/>
      <c r="L46" s="122"/>
      <c r="M46" s="117"/>
      <c r="N46" s="117"/>
    </row>
    <row r="47" spans="1:14" s="127" customFormat="1" ht="21.75" customHeight="1">
      <c r="A47" s="113" t="s">
        <v>47</v>
      </c>
      <c r="B47" s="114"/>
      <c r="C47" s="114">
        <v>135</v>
      </c>
      <c r="D47" s="115" t="s">
        <v>521</v>
      </c>
      <c r="E47" s="114"/>
      <c r="F47" s="114">
        <v>135</v>
      </c>
      <c r="G47" s="116" t="s">
        <v>363</v>
      </c>
      <c r="H47" s="117">
        <f t="shared" si="0"/>
        <v>364000</v>
      </c>
      <c r="I47" s="117"/>
      <c r="J47" s="117"/>
      <c r="K47" s="118"/>
      <c r="L47" s="122"/>
      <c r="M47" s="117">
        <f>357000+7000</f>
        <v>364000</v>
      </c>
      <c r="N47" s="117"/>
    </row>
    <row r="48" spans="1:14" s="127" customFormat="1" ht="21.75" customHeight="1">
      <c r="A48" s="113" t="s">
        <v>47</v>
      </c>
      <c r="B48" s="486"/>
      <c r="C48" s="488">
        <v>135</v>
      </c>
      <c r="D48" s="487" t="s">
        <v>521</v>
      </c>
      <c r="E48" s="488"/>
      <c r="F48" s="488">
        <v>135</v>
      </c>
      <c r="G48" s="491" t="s">
        <v>363</v>
      </c>
      <c r="H48" s="490">
        <f t="shared" si="0"/>
        <v>0</v>
      </c>
      <c r="I48" s="490">
        <v>0</v>
      </c>
      <c r="J48" s="490">
        <v>0</v>
      </c>
      <c r="K48" s="506">
        <v>0</v>
      </c>
      <c r="L48" s="507">
        <v>0</v>
      </c>
      <c r="M48" s="494"/>
      <c r="N48" s="117"/>
    </row>
    <row r="49" spans="1:14" s="133" customFormat="1" ht="27.75" customHeight="1">
      <c r="A49" s="128" t="s">
        <v>432</v>
      </c>
      <c r="B49" s="129">
        <v>130</v>
      </c>
      <c r="C49" s="129">
        <v>140</v>
      </c>
      <c r="D49" s="115" t="s">
        <v>521</v>
      </c>
      <c r="E49" s="129"/>
      <c r="F49" s="129">
        <v>140</v>
      </c>
      <c r="G49" s="130" t="s">
        <v>363</v>
      </c>
      <c r="H49" s="131">
        <f>M49</f>
        <v>0</v>
      </c>
      <c r="I49" s="129" t="s">
        <v>74</v>
      </c>
      <c r="J49" s="129" t="s">
        <v>74</v>
      </c>
      <c r="K49" s="129" t="s">
        <v>74</v>
      </c>
      <c r="L49" s="129" t="s">
        <v>74</v>
      </c>
      <c r="M49" s="132">
        <f>M51+M52+M53+M54+M55</f>
        <v>0</v>
      </c>
      <c r="N49" s="129" t="s">
        <v>74</v>
      </c>
    </row>
    <row r="50" spans="1:14" s="127" customFormat="1" ht="12.75">
      <c r="A50" s="113" t="s">
        <v>364</v>
      </c>
      <c r="B50" s="114"/>
      <c r="C50" s="114"/>
      <c r="D50" s="115"/>
      <c r="E50" s="114"/>
      <c r="F50" s="114"/>
      <c r="G50" s="121"/>
      <c r="H50" s="117"/>
      <c r="I50" s="121"/>
      <c r="J50" s="114"/>
      <c r="K50" s="118"/>
      <c r="L50" s="122"/>
      <c r="M50" s="117"/>
      <c r="N50" s="122"/>
    </row>
    <row r="51" spans="1:14" s="127" customFormat="1" ht="38.25">
      <c r="A51" s="113" t="s">
        <v>369</v>
      </c>
      <c r="B51" s="114"/>
      <c r="C51" s="114">
        <v>141</v>
      </c>
      <c r="D51" s="115" t="s">
        <v>521</v>
      </c>
      <c r="E51" s="114"/>
      <c r="F51" s="114">
        <v>141</v>
      </c>
      <c r="G51" s="116" t="s">
        <v>363</v>
      </c>
      <c r="H51" s="117">
        <f>I51+J51+K51+L51+M51</f>
        <v>0</v>
      </c>
      <c r="I51" s="121"/>
      <c r="J51" s="114"/>
      <c r="K51" s="118"/>
      <c r="L51" s="122"/>
      <c r="M51" s="117"/>
      <c r="N51" s="122"/>
    </row>
    <row r="52" spans="1:14" s="127" customFormat="1" ht="25.5">
      <c r="A52" s="113" t="s">
        <v>370</v>
      </c>
      <c r="B52" s="114"/>
      <c r="C52" s="114">
        <v>142</v>
      </c>
      <c r="D52" s="115" t="s">
        <v>521</v>
      </c>
      <c r="E52" s="114"/>
      <c r="F52" s="114">
        <v>142</v>
      </c>
      <c r="G52" s="116" t="s">
        <v>363</v>
      </c>
      <c r="H52" s="117">
        <f>I52+J52+K52+L52+M52</f>
        <v>0</v>
      </c>
      <c r="I52" s="121"/>
      <c r="J52" s="114"/>
      <c r="K52" s="118"/>
      <c r="L52" s="122"/>
      <c r="M52" s="117"/>
      <c r="N52" s="122"/>
    </row>
    <row r="53" spans="1:14" s="127" customFormat="1" ht="15" customHeight="1">
      <c r="A53" s="113" t="s">
        <v>371</v>
      </c>
      <c r="B53" s="114"/>
      <c r="C53" s="114">
        <v>143</v>
      </c>
      <c r="D53" s="115" t="s">
        <v>521</v>
      </c>
      <c r="E53" s="114"/>
      <c r="F53" s="114">
        <v>143</v>
      </c>
      <c r="G53" s="116" t="s">
        <v>363</v>
      </c>
      <c r="H53" s="117">
        <f>I53+J53+K53+L53+M53</f>
        <v>0</v>
      </c>
      <c r="I53" s="121"/>
      <c r="J53" s="114"/>
      <c r="K53" s="118"/>
      <c r="L53" s="122"/>
      <c r="M53" s="117"/>
      <c r="N53" s="122"/>
    </row>
    <row r="54" spans="1:14" s="127" customFormat="1" ht="15" customHeight="1">
      <c r="A54" s="113" t="s">
        <v>372</v>
      </c>
      <c r="B54" s="114"/>
      <c r="C54" s="114">
        <v>144</v>
      </c>
      <c r="D54" s="115" t="s">
        <v>521</v>
      </c>
      <c r="E54" s="114"/>
      <c r="F54" s="114">
        <v>144</v>
      </c>
      <c r="G54" s="116" t="s">
        <v>363</v>
      </c>
      <c r="H54" s="117">
        <f>I54+J54+K54+L54+M54</f>
        <v>0</v>
      </c>
      <c r="I54" s="121"/>
      <c r="J54" s="114"/>
      <c r="K54" s="118"/>
      <c r="L54" s="122"/>
      <c r="M54" s="117"/>
      <c r="N54" s="122"/>
    </row>
    <row r="55" spans="1:14" s="127" customFormat="1" ht="15" customHeight="1">
      <c r="A55" s="113" t="s">
        <v>373</v>
      </c>
      <c r="B55" s="114"/>
      <c r="C55" s="114">
        <v>145</v>
      </c>
      <c r="D55" s="115" t="s">
        <v>521</v>
      </c>
      <c r="E55" s="114"/>
      <c r="F55" s="114">
        <v>145</v>
      </c>
      <c r="G55" s="116" t="s">
        <v>363</v>
      </c>
      <c r="H55" s="117">
        <f>I55+J55+K55+L55+M55</f>
        <v>0</v>
      </c>
      <c r="I55" s="121"/>
      <c r="J55" s="114"/>
      <c r="K55" s="118"/>
      <c r="L55" s="122"/>
      <c r="M55" s="117"/>
      <c r="N55" s="122"/>
    </row>
    <row r="56" spans="1:14" s="106" customFormat="1" ht="47.25" customHeight="1">
      <c r="A56" s="113" t="s">
        <v>49</v>
      </c>
      <c r="B56" s="114">
        <v>140</v>
      </c>
      <c r="C56" s="114"/>
      <c r="D56" s="115" t="s">
        <v>521</v>
      </c>
      <c r="E56" s="114"/>
      <c r="F56" s="114"/>
      <c r="G56" s="121"/>
      <c r="H56" s="117">
        <f>M56</f>
        <v>0</v>
      </c>
      <c r="I56" s="108" t="s">
        <v>74</v>
      </c>
      <c r="J56" s="108" t="s">
        <v>74</v>
      </c>
      <c r="K56" s="108" t="s">
        <v>74</v>
      </c>
      <c r="L56" s="108" t="s">
        <v>74</v>
      </c>
      <c r="M56" s="108"/>
      <c r="N56" s="108" t="s">
        <v>74</v>
      </c>
    </row>
    <row r="57" spans="1:14" s="167" customFormat="1" ht="33" customHeight="1">
      <c r="A57" s="168" t="s">
        <v>167</v>
      </c>
      <c r="B57" s="156">
        <v>150</v>
      </c>
      <c r="C57" s="156">
        <v>150</v>
      </c>
      <c r="D57" s="156">
        <v>901000000</v>
      </c>
      <c r="E57" s="156"/>
      <c r="F57" s="156">
        <v>150</v>
      </c>
      <c r="G57" s="157"/>
      <c r="H57" s="180">
        <f aca="true" t="shared" si="1" ref="H57:H83">J57+K57</f>
        <v>6010660.31</v>
      </c>
      <c r="I57" s="173" t="s">
        <v>74</v>
      </c>
      <c r="J57" s="174">
        <f>SUM(J58:L82)</f>
        <v>6010660.31</v>
      </c>
      <c r="K57" s="173">
        <f>K58</f>
        <v>0</v>
      </c>
      <c r="L57" s="173" t="s">
        <v>74</v>
      </c>
      <c r="M57" s="173" t="s">
        <v>74</v>
      </c>
      <c r="N57" s="173" t="s">
        <v>74</v>
      </c>
    </row>
    <row r="58" spans="1:14" s="106" customFormat="1" ht="23.25" customHeight="1">
      <c r="A58" s="113" t="s">
        <v>167</v>
      </c>
      <c r="B58" s="114">
        <v>150</v>
      </c>
      <c r="C58" s="114">
        <v>152</v>
      </c>
      <c r="D58" s="114">
        <v>901480000</v>
      </c>
      <c r="E58" s="114"/>
      <c r="F58" s="114">
        <v>152</v>
      </c>
      <c r="G58" s="121" t="s">
        <v>526</v>
      </c>
      <c r="H58" s="117">
        <f t="shared" si="1"/>
        <v>2246150</v>
      </c>
      <c r="I58" s="108"/>
      <c r="J58" s="124">
        <f>1781767+364383+100000</f>
        <v>2246150</v>
      </c>
      <c r="K58" s="111"/>
      <c r="L58" s="108" t="s">
        <v>74</v>
      </c>
      <c r="M58" s="108" t="s">
        <v>74</v>
      </c>
      <c r="N58" s="108" t="s">
        <v>74</v>
      </c>
    </row>
    <row r="59" spans="1:14" s="106" customFormat="1" ht="23.25" customHeight="1">
      <c r="A59" s="113" t="s">
        <v>167</v>
      </c>
      <c r="B59" s="114">
        <v>150</v>
      </c>
      <c r="C59" s="114">
        <v>152</v>
      </c>
      <c r="D59" s="114">
        <v>901160000</v>
      </c>
      <c r="E59" s="114"/>
      <c r="F59" s="114">
        <v>152</v>
      </c>
      <c r="G59" s="121" t="s">
        <v>526</v>
      </c>
      <c r="H59" s="117">
        <f t="shared" si="1"/>
        <v>1073719</v>
      </c>
      <c r="I59" s="108"/>
      <c r="J59" s="124">
        <f>949644+124075</f>
        <v>1073719</v>
      </c>
      <c r="K59" s="111"/>
      <c r="L59" s="108" t="s">
        <v>74</v>
      </c>
      <c r="M59" s="108" t="s">
        <v>74</v>
      </c>
      <c r="N59" s="108" t="s">
        <v>74</v>
      </c>
    </row>
    <row r="60" spans="1:14" s="106" customFormat="1" ht="23.25" customHeight="1">
      <c r="A60" s="113" t="s">
        <v>167</v>
      </c>
      <c r="B60" s="114">
        <v>150</v>
      </c>
      <c r="C60" s="114">
        <v>152</v>
      </c>
      <c r="D60" s="114">
        <v>901830000</v>
      </c>
      <c r="E60" s="114"/>
      <c r="F60" s="114">
        <v>152</v>
      </c>
      <c r="G60" s="121" t="s">
        <v>526</v>
      </c>
      <c r="H60" s="117">
        <f t="shared" si="1"/>
        <v>597147.9400000001</v>
      </c>
      <c r="I60" s="108"/>
      <c r="J60" s="124">
        <f>532435.56+64712.38</f>
        <v>597147.9400000001</v>
      </c>
      <c r="K60" s="111"/>
      <c r="L60" s="108" t="s">
        <v>74</v>
      </c>
      <c r="M60" s="108" t="s">
        <v>74</v>
      </c>
      <c r="N60" s="108" t="s">
        <v>74</v>
      </c>
    </row>
    <row r="61" spans="1:14" s="106" customFormat="1" ht="23.25" customHeight="1">
      <c r="A61" s="113" t="s">
        <v>167</v>
      </c>
      <c r="B61" s="114">
        <v>150</v>
      </c>
      <c r="C61" s="114">
        <v>152</v>
      </c>
      <c r="D61" s="114">
        <v>901210000</v>
      </c>
      <c r="E61" s="114"/>
      <c r="F61" s="114">
        <v>152</v>
      </c>
      <c r="G61" s="116" t="s">
        <v>528</v>
      </c>
      <c r="H61" s="117">
        <f t="shared" si="1"/>
        <v>982310</v>
      </c>
      <c r="I61" s="108"/>
      <c r="J61" s="124">
        <f>876777+105533</f>
        <v>982310</v>
      </c>
      <c r="K61" s="111"/>
      <c r="L61" s="108" t="s">
        <v>74</v>
      </c>
      <c r="M61" s="108" t="s">
        <v>74</v>
      </c>
      <c r="N61" s="108" t="s">
        <v>74</v>
      </c>
    </row>
    <row r="62" spans="1:14" s="106" customFormat="1" ht="23.25" customHeight="1">
      <c r="A62" s="113" t="s">
        <v>167</v>
      </c>
      <c r="B62" s="114">
        <v>150</v>
      </c>
      <c r="C62" s="114">
        <v>152</v>
      </c>
      <c r="D62" s="114">
        <v>901150000</v>
      </c>
      <c r="E62" s="114"/>
      <c r="F62" s="114">
        <v>152</v>
      </c>
      <c r="G62" s="121" t="s">
        <v>526</v>
      </c>
      <c r="H62" s="117">
        <f t="shared" si="1"/>
        <v>464088</v>
      </c>
      <c r="I62" s="108"/>
      <c r="J62" s="124">
        <f>396173+67915</f>
        <v>464088</v>
      </c>
      <c r="K62" s="111"/>
      <c r="L62" s="108" t="s">
        <v>74</v>
      </c>
      <c r="M62" s="108" t="s">
        <v>74</v>
      </c>
      <c r="N62" s="108" t="s">
        <v>74</v>
      </c>
    </row>
    <row r="63" spans="1:14" s="106" customFormat="1" ht="23.25" customHeight="1">
      <c r="A63" s="113" t="s">
        <v>167</v>
      </c>
      <c r="B63" s="114">
        <v>150</v>
      </c>
      <c r="C63" s="114">
        <v>152</v>
      </c>
      <c r="D63" s="114">
        <v>901170000</v>
      </c>
      <c r="E63" s="114"/>
      <c r="F63" s="114">
        <v>152</v>
      </c>
      <c r="G63" s="121" t="s">
        <v>538</v>
      </c>
      <c r="H63" s="117">
        <f>J63+K63</f>
        <v>90000</v>
      </c>
      <c r="I63" s="108"/>
      <c r="J63" s="124">
        <v>90000</v>
      </c>
      <c r="K63" s="111"/>
      <c r="L63" s="108" t="s">
        <v>74</v>
      </c>
      <c r="M63" s="108" t="s">
        <v>74</v>
      </c>
      <c r="N63" s="108" t="s">
        <v>74</v>
      </c>
    </row>
    <row r="64" spans="1:14" s="106" customFormat="1" ht="23.25" customHeight="1">
      <c r="A64" s="113" t="s">
        <v>167</v>
      </c>
      <c r="B64" s="114">
        <v>150</v>
      </c>
      <c r="C64" s="114">
        <v>152</v>
      </c>
      <c r="D64" s="114">
        <v>901140000</v>
      </c>
      <c r="E64" s="114"/>
      <c r="F64" s="114">
        <v>152</v>
      </c>
      <c r="G64" s="121" t="s">
        <v>526</v>
      </c>
      <c r="H64" s="117">
        <f t="shared" si="1"/>
        <v>225466</v>
      </c>
      <c r="I64" s="108"/>
      <c r="J64" s="124">
        <f>155008+13862+56596</f>
        <v>225466</v>
      </c>
      <c r="K64" s="111"/>
      <c r="L64" s="108" t="s">
        <v>74</v>
      </c>
      <c r="M64" s="108" t="s">
        <v>74</v>
      </c>
      <c r="N64" s="108" t="s">
        <v>74</v>
      </c>
    </row>
    <row r="65" spans="1:14" s="106" customFormat="1" ht="23.25" customHeight="1">
      <c r="A65" s="113" t="s">
        <v>167</v>
      </c>
      <c r="B65" s="114">
        <v>150</v>
      </c>
      <c r="C65" s="114">
        <v>152</v>
      </c>
      <c r="D65" s="114">
        <v>901030000</v>
      </c>
      <c r="E65" s="114"/>
      <c r="F65" s="114">
        <v>152</v>
      </c>
      <c r="G65" s="499" t="s">
        <v>840</v>
      </c>
      <c r="H65" s="117">
        <f t="shared" si="1"/>
        <v>18079.2</v>
      </c>
      <c r="I65" s="108"/>
      <c r="J65" s="124">
        <f>2*9039.6</f>
        <v>18079.2</v>
      </c>
      <c r="K65" s="111"/>
      <c r="L65" s="108"/>
      <c r="M65" s="109"/>
      <c r="N65" s="109"/>
    </row>
    <row r="66" spans="1:14" s="106" customFormat="1" ht="23.25" customHeight="1">
      <c r="A66" s="113" t="s">
        <v>167</v>
      </c>
      <c r="B66" s="114">
        <v>150</v>
      </c>
      <c r="C66" s="114">
        <v>152</v>
      </c>
      <c r="D66" s="114">
        <v>901490000</v>
      </c>
      <c r="E66" s="114"/>
      <c r="F66" s="114">
        <v>152</v>
      </c>
      <c r="G66" s="499" t="s">
        <v>842</v>
      </c>
      <c r="H66" s="117">
        <f t="shared" si="1"/>
        <v>24105.6</v>
      </c>
      <c r="I66" s="108"/>
      <c r="J66" s="124">
        <f>2*12052.8</f>
        <v>24105.6</v>
      </c>
      <c r="K66" s="111"/>
      <c r="L66" s="108"/>
      <c r="M66" s="109"/>
      <c r="N66" s="109"/>
    </row>
    <row r="67" spans="1:14" s="106" customFormat="1" ht="23.25" customHeight="1">
      <c r="A67" s="113" t="s">
        <v>167</v>
      </c>
      <c r="B67" s="114">
        <v>150</v>
      </c>
      <c r="C67" s="114">
        <v>152</v>
      </c>
      <c r="D67" s="115" t="s">
        <v>796</v>
      </c>
      <c r="E67" s="114"/>
      <c r="F67" s="114">
        <v>152</v>
      </c>
      <c r="G67" s="508" t="s">
        <v>798</v>
      </c>
      <c r="H67" s="117">
        <f t="shared" si="1"/>
        <v>1440</v>
      </c>
      <c r="I67" s="108"/>
      <c r="J67" s="124">
        <v>1440</v>
      </c>
      <c r="K67" s="111"/>
      <c r="L67" s="108"/>
      <c r="M67" s="109"/>
      <c r="N67" s="109"/>
    </row>
    <row r="68" spans="1:14" s="106" customFormat="1" ht="23.25" customHeight="1">
      <c r="A68" s="113" t="s">
        <v>167</v>
      </c>
      <c r="B68" s="114">
        <v>150</v>
      </c>
      <c r="C68" s="114">
        <v>152</v>
      </c>
      <c r="D68" s="114">
        <v>901870000</v>
      </c>
      <c r="E68" s="114"/>
      <c r="F68" s="114">
        <v>152</v>
      </c>
      <c r="G68" s="508" t="s">
        <v>798</v>
      </c>
      <c r="H68" s="117">
        <f t="shared" si="1"/>
        <v>12915</v>
      </c>
      <c r="I68" s="108"/>
      <c r="J68" s="124">
        <v>12915</v>
      </c>
      <c r="K68" s="111"/>
      <c r="L68" s="108"/>
      <c r="M68" s="109"/>
      <c r="N68" s="109"/>
    </row>
    <row r="69" spans="1:14" s="106" customFormat="1" ht="23.25" customHeight="1">
      <c r="A69" s="113" t="s">
        <v>167</v>
      </c>
      <c r="B69" s="114">
        <v>150</v>
      </c>
      <c r="C69" s="114">
        <v>152</v>
      </c>
      <c r="D69" s="114">
        <v>901270000</v>
      </c>
      <c r="E69" s="114"/>
      <c r="F69" s="114">
        <v>152</v>
      </c>
      <c r="G69" s="101" t="s">
        <v>800</v>
      </c>
      <c r="H69" s="117">
        <f t="shared" si="1"/>
        <v>18257.44</v>
      </c>
      <c r="I69" s="108"/>
      <c r="J69" s="124">
        <v>18257.44</v>
      </c>
      <c r="K69" s="111"/>
      <c r="L69" s="108"/>
      <c r="M69" s="109"/>
      <c r="N69" s="109"/>
    </row>
    <row r="70" spans="1:14" s="106" customFormat="1" ht="23.25" customHeight="1">
      <c r="A70" s="113" t="s">
        <v>167</v>
      </c>
      <c r="B70" s="114">
        <v>150</v>
      </c>
      <c r="C70" s="114">
        <v>152</v>
      </c>
      <c r="D70" s="114">
        <v>901370000</v>
      </c>
      <c r="E70" s="114"/>
      <c r="F70" s="114">
        <v>152</v>
      </c>
      <c r="G70" s="499">
        <v>91100221500</v>
      </c>
      <c r="H70" s="117">
        <f t="shared" si="1"/>
        <v>112000</v>
      </c>
      <c r="I70" s="108"/>
      <c r="J70" s="124">
        <f>2*56000</f>
        <v>112000</v>
      </c>
      <c r="K70" s="111"/>
      <c r="L70" s="108"/>
      <c r="M70" s="109"/>
      <c r="N70" s="109"/>
    </row>
    <row r="71" spans="1:14" s="106" customFormat="1" ht="23.25" customHeight="1" hidden="1">
      <c r="A71" s="113" t="s">
        <v>831</v>
      </c>
      <c r="B71" s="488"/>
      <c r="C71" s="488">
        <v>152</v>
      </c>
      <c r="D71" s="488">
        <v>901480000</v>
      </c>
      <c r="E71" s="488"/>
      <c r="F71" s="488">
        <v>152</v>
      </c>
      <c r="G71" s="499" t="s">
        <v>526</v>
      </c>
      <c r="H71" s="490">
        <f t="shared" si="1"/>
        <v>0</v>
      </c>
      <c r="I71" s="500">
        <v>0</v>
      </c>
      <c r="J71" s="485"/>
      <c r="K71" s="111"/>
      <c r="L71" s="108"/>
      <c r="M71" s="109"/>
      <c r="N71" s="109"/>
    </row>
    <row r="72" spans="1:14" s="106" customFormat="1" ht="23.25" customHeight="1" hidden="1">
      <c r="A72" s="113" t="s">
        <v>236</v>
      </c>
      <c r="B72" s="488"/>
      <c r="C72" s="488">
        <v>152</v>
      </c>
      <c r="D72" s="488">
        <v>901160000</v>
      </c>
      <c r="E72" s="488"/>
      <c r="F72" s="488">
        <v>152</v>
      </c>
      <c r="G72" s="499" t="s">
        <v>526</v>
      </c>
      <c r="H72" s="490">
        <f t="shared" si="1"/>
        <v>0</v>
      </c>
      <c r="I72" s="500">
        <v>0</v>
      </c>
      <c r="J72" s="485"/>
      <c r="K72" s="111"/>
      <c r="L72" s="108"/>
      <c r="M72" s="109"/>
      <c r="N72" s="109"/>
    </row>
    <row r="73" spans="1:14" s="106" customFormat="1" ht="23.25" customHeight="1" hidden="1">
      <c r="A73" s="113" t="s">
        <v>832</v>
      </c>
      <c r="B73" s="488"/>
      <c r="C73" s="488">
        <v>152</v>
      </c>
      <c r="D73" s="488">
        <v>901830000</v>
      </c>
      <c r="E73" s="488"/>
      <c r="F73" s="488">
        <v>152</v>
      </c>
      <c r="G73" s="499" t="s">
        <v>526</v>
      </c>
      <c r="H73" s="490">
        <f t="shared" si="1"/>
        <v>0</v>
      </c>
      <c r="I73" s="500">
        <v>0</v>
      </c>
      <c r="J73" s="485"/>
      <c r="K73" s="111"/>
      <c r="L73" s="108"/>
      <c r="M73" s="109"/>
      <c r="N73" s="109"/>
    </row>
    <row r="74" spans="1:16" s="106" customFormat="1" ht="23.25" customHeight="1">
      <c r="A74" s="113" t="s">
        <v>833</v>
      </c>
      <c r="B74" s="488"/>
      <c r="C74" s="488">
        <v>152</v>
      </c>
      <c r="D74" s="488">
        <v>901060000</v>
      </c>
      <c r="E74" s="488"/>
      <c r="F74" s="488">
        <v>152</v>
      </c>
      <c r="G74" s="499" t="s">
        <v>525</v>
      </c>
      <c r="H74" s="490">
        <f t="shared" si="1"/>
        <v>144982.13</v>
      </c>
      <c r="I74" s="500">
        <v>0</v>
      </c>
      <c r="J74" s="485">
        <v>144982.13</v>
      </c>
      <c r="K74" s="111"/>
      <c r="L74" s="108"/>
      <c r="M74" s="109"/>
      <c r="N74" s="109"/>
      <c r="P74" s="485"/>
    </row>
    <row r="75" spans="1:14" s="106" customFormat="1" ht="23.25" customHeight="1" hidden="1">
      <c r="A75" s="113" t="s">
        <v>834</v>
      </c>
      <c r="B75" s="488"/>
      <c r="C75" s="488">
        <v>152</v>
      </c>
      <c r="D75" s="488">
        <v>901140000</v>
      </c>
      <c r="E75" s="488"/>
      <c r="F75" s="488">
        <v>152</v>
      </c>
      <c r="G75" s="499" t="s">
        <v>526</v>
      </c>
      <c r="H75" s="490">
        <f t="shared" si="1"/>
        <v>0</v>
      </c>
      <c r="I75" s="500">
        <v>0</v>
      </c>
      <c r="J75" s="485"/>
      <c r="K75" s="111"/>
      <c r="L75" s="108"/>
      <c r="M75" s="109"/>
      <c r="N75" s="109"/>
    </row>
    <row r="76" spans="1:14" s="106" customFormat="1" ht="23.25" customHeight="1" hidden="1">
      <c r="A76" s="113" t="s">
        <v>835</v>
      </c>
      <c r="B76" s="488"/>
      <c r="C76" s="488">
        <v>152</v>
      </c>
      <c r="D76" s="488">
        <v>901140000</v>
      </c>
      <c r="E76" s="488"/>
      <c r="F76" s="488">
        <v>152</v>
      </c>
      <c r="G76" s="499" t="s">
        <v>526</v>
      </c>
      <c r="H76" s="490">
        <f t="shared" si="1"/>
        <v>0</v>
      </c>
      <c r="I76" s="500">
        <v>0</v>
      </c>
      <c r="J76" s="485"/>
      <c r="K76" s="111"/>
      <c r="L76" s="108"/>
      <c r="M76" s="109"/>
      <c r="N76" s="109"/>
    </row>
    <row r="77" spans="1:14" s="106" customFormat="1" ht="23.25" customHeight="1" hidden="1">
      <c r="A77" s="113" t="s">
        <v>836</v>
      </c>
      <c r="B77" s="488"/>
      <c r="C77" s="488">
        <v>152</v>
      </c>
      <c r="D77" s="488">
        <v>901150000</v>
      </c>
      <c r="E77" s="488"/>
      <c r="F77" s="488">
        <v>152</v>
      </c>
      <c r="G77" s="499" t="s">
        <v>526</v>
      </c>
      <c r="H77" s="490">
        <f t="shared" si="1"/>
        <v>0</v>
      </c>
      <c r="I77" s="500">
        <v>0</v>
      </c>
      <c r="J77" s="485"/>
      <c r="K77" s="111"/>
      <c r="L77" s="108"/>
      <c r="M77" s="109"/>
      <c r="N77" s="109"/>
    </row>
    <row r="78" spans="1:14" s="106" customFormat="1" ht="23.25" customHeight="1" hidden="1">
      <c r="A78" s="113" t="s">
        <v>241</v>
      </c>
      <c r="B78" s="488"/>
      <c r="C78" s="488">
        <v>152</v>
      </c>
      <c r="D78" s="501">
        <v>901210000</v>
      </c>
      <c r="E78" s="488"/>
      <c r="F78" s="488">
        <v>152</v>
      </c>
      <c r="G78" s="491" t="s">
        <v>528</v>
      </c>
      <c r="H78" s="490">
        <f t="shared" si="1"/>
        <v>0</v>
      </c>
      <c r="I78" s="500">
        <v>0</v>
      </c>
      <c r="J78" s="485"/>
      <c r="K78" s="111"/>
      <c r="L78" s="108"/>
      <c r="M78" s="109"/>
      <c r="N78" s="109"/>
    </row>
    <row r="79" spans="1:14" s="106" customFormat="1" ht="23.25" customHeight="1" hidden="1">
      <c r="A79" s="113" t="s">
        <v>837</v>
      </c>
      <c r="B79" s="488"/>
      <c r="C79" s="488">
        <v>152</v>
      </c>
      <c r="D79" s="488">
        <v>901480000</v>
      </c>
      <c r="E79" s="488"/>
      <c r="F79" s="488">
        <v>152</v>
      </c>
      <c r="G79" s="499" t="s">
        <v>526</v>
      </c>
      <c r="H79" s="490">
        <f>J79+K79</f>
        <v>0</v>
      </c>
      <c r="I79" s="500">
        <v>0</v>
      </c>
      <c r="J79" s="485"/>
      <c r="K79" s="111"/>
      <c r="L79" s="108"/>
      <c r="M79" s="109"/>
      <c r="N79" s="109"/>
    </row>
    <row r="80" spans="1:14" s="106" customFormat="1" ht="23.25" customHeight="1" hidden="1">
      <c r="A80" s="113" t="s">
        <v>838</v>
      </c>
      <c r="B80" s="488"/>
      <c r="C80" s="488">
        <v>152</v>
      </c>
      <c r="D80" s="488">
        <v>901370000</v>
      </c>
      <c r="E80" s="488"/>
      <c r="F80" s="488">
        <v>152</v>
      </c>
      <c r="G80" s="499">
        <v>91100221500</v>
      </c>
      <c r="H80" s="490">
        <f>J80+K80</f>
        <v>0</v>
      </c>
      <c r="I80" s="500">
        <v>0</v>
      </c>
      <c r="J80" s="485"/>
      <c r="K80" s="111"/>
      <c r="L80" s="108"/>
      <c r="M80" s="109"/>
      <c r="N80" s="109"/>
    </row>
    <row r="81" spans="1:14" s="106" customFormat="1" ht="23.25" customHeight="1" hidden="1">
      <c r="A81" s="113" t="s">
        <v>839</v>
      </c>
      <c r="B81" s="488"/>
      <c r="C81" s="488">
        <v>152</v>
      </c>
      <c r="D81" s="488">
        <v>901030000</v>
      </c>
      <c r="E81" s="488"/>
      <c r="F81" s="488">
        <v>152</v>
      </c>
      <c r="G81" s="499" t="s">
        <v>840</v>
      </c>
      <c r="H81" s="490">
        <f>J81+K81</f>
        <v>0</v>
      </c>
      <c r="I81" s="500">
        <v>0</v>
      </c>
      <c r="J81" s="485"/>
      <c r="K81" s="111"/>
      <c r="L81" s="108"/>
      <c r="M81" s="109"/>
      <c r="N81" s="109"/>
    </row>
    <row r="82" spans="1:14" s="106" customFormat="1" ht="23.25" customHeight="1" hidden="1">
      <c r="A82" s="113" t="s">
        <v>841</v>
      </c>
      <c r="B82" s="488"/>
      <c r="C82" s="488">
        <v>152</v>
      </c>
      <c r="D82" s="488">
        <v>901490000</v>
      </c>
      <c r="E82" s="488"/>
      <c r="F82" s="488">
        <v>152</v>
      </c>
      <c r="G82" s="499" t="s">
        <v>842</v>
      </c>
      <c r="H82" s="490">
        <f t="shared" si="1"/>
        <v>0</v>
      </c>
      <c r="I82" s="500">
        <v>0</v>
      </c>
      <c r="J82" s="485"/>
      <c r="K82" s="111"/>
      <c r="L82" s="108"/>
      <c r="M82" s="109"/>
      <c r="N82" s="109"/>
    </row>
    <row r="83" spans="1:14" s="106" customFormat="1" ht="23.25" customHeight="1">
      <c r="A83" s="113" t="s">
        <v>167</v>
      </c>
      <c r="B83" s="114">
        <v>150</v>
      </c>
      <c r="C83" s="114">
        <v>152</v>
      </c>
      <c r="D83" s="114">
        <v>901750000</v>
      </c>
      <c r="E83" s="114"/>
      <c r="F83" s="114">
        <v>152</v>
      </c>
      <c r="G83" s="116" t="s">
        <v>529</v>
      </c>
      <c r="H83" s="117">
        <f t="shared" si="1"/>
        <v>0</v>
      </c>
      <c r="I83" s="108"/>
      <c r="J83" s="124">
        <v>0</v>
      </c>
      <c r="K83" s="111"/>
      <c r="L83" s="108"/>
      <c r="M83" s="109"/>
      <c r="N83" s="109"/>
    </row>
    <row r="84" spans="1:14" s="127" customFormat="1" ht="15" customHeight="1">
      <c r="A84" s="113" t="s">
        <v>210</v>
      </c>
      <c r="B84" s="114">
        <v>160</v>
      </c>
      <c r="C84" s="114">
        <v>180</v>
      </c>
      <c r="D84" s="115" t="s">
        <v>521</v>
      </c>
      <c r="E84" s="114"/>
      <c r="F84" s="114">
        <v>180</v>
      </c>
      <c r="G84" s="116" t="s">
        <v>363</v>
      </c>
      <c r="H84" s="117">
        <f aca="true" t="shared" si="2" ref="H84:H92">M84</f>
        <v>-112140</v>
      </c>
      <c r="I84" s="114" t="s">
        <v>74</v>
      </c>
      <c r="J84" s="114" t="s">
        <v>74</v>
      </c>
      <c r="K84" s="114" t="s">
        <v>74</v>
      </c>
      <c r="L84" s="114" t="s">
        <v>74</v>
      </c>
      <c r="M84" s="117">
        <f>M85+M86</f>
        <v>-112140</v>
      </c>
      <c r="N84" s="117">
        <f>N85+N86</f>
        <v>0</v>
      </c>
    </row>
    <row r="85" spans="1:14" s="127" customFormat="1" ht="15" customHeight="1">
      <c r="A85" s="134" t="s">
        <v>133</v>
      </c>
      <c r="B85" s="114"/>
      <c r="C85" s="114">
        <v>189</v>
      </c>
      <c r="D85" s="115" t="s">
        <v>521</v>
      </c>
      <c r="E85" s="114"/>
      <c r="F85" s="114">
        <v>189</v>
      </c>
      <c r="G85" s="116" t="s">
        <v>363</v>
      </c>
      <c r="H85" s="117">
        <f t="shared" si="2"/>
        <v>0</v>
      </c>
      <c r="I85" s="117"/>
      <c r="J85" s="117"/>
      <c r="K85" s="118"/>
      <c r="L85" s="122"/>
      <c r="M85" s="117"/>
      <c r="N85" s="117"/>
    </row>
    <row r="86" spans="1:14" s="127" customFormat="1" ht="15" customHeight="1">
      <c r="A86" s="134" t="s">
        <v>134</v>
      </c>
      <c r="B86" s="114"/>
      <c r="C86" s="114">
        <v>189</v>
      </c>
      <c r="D86" s="115" t="s">
        <v>521</v>
      </c>
      <c r="E86" s="114"/>
      <c r="F86" s="114">
        <v>189</v>
      </c>
      <c r="G86" s="116" t="s">
        <v>363</v>
      </c>
      <c r="H86" s="117">
        <f t="shared" si="2"/>
        <v>-112140</v>
      </c>
      <c r="I86" s="117"/>
      <c r="J86" s="117"/>
      <c r="K86" s="118"/>
      <c r="L86" s="122"/>
      <c r="M86" s="117">
        <v>-112140</v>
      </c>
      <c r="N86" s="117"/>
    </row>
    <row r="87" spans="1:14" s="127" customFormat="1" ht="24" customHeight="1">
      <c r="A87" s="113" t="s">
        <v>211</v>
      </c>
      <c r="B87" s="114">
        <v>180</v>
      </c>
      <c r="C87" s="114">
        <v>400</v>
      </c>
      <c r="D87" s="115" t="s">
        <v>521</v>
      </c>
      <c r="E87" s="114" t="s">
        <v>74</v>
      </c>
      <c r="F87" s="114">
        <v>400</v>
      </c>
      <c r="G87" s="116" t="s">
        <v>363</v>
      </c>
      <c r="H87" s="117">
        <f t="shared" si="2"/>
        <v>0</v>
      </c>
      <c r="I87" s="114" t="s">
        <v>74</v>
      </c>
      <c r="J87" s="114" t="s">
        <v>74</v>
      </c>
      <c r="K87" s="114" t="s">
        <v>74</v>
      </c>
      <c r="L87" s="114" t="s">
        <v>74</v>
      </c>
      <c r="M87" s="117">
        <f>M88+M89+M90+M92+M91</f>
        <v>0</v>
      </c>
      <c r="N87" s="114" t="s">
        <v>74</v>
      </c>
    </row>
    <row r="88" spans="1:14" s="127" customFormat="1" ht="24" customHeight="1">
      <c r="A88" s="135" t="s">
        <v>374</v>
      </c>
      <c r="B88" s="114"/>
      <c r="C88" s="114">
        <v>410</v>
      </c>
      <c r="D88" s="115" t="s">
        <v>521</v>
      </c>
      <c r="E88" s="114"/>
      <c r="F88" s="114">
        <v>410</v>
      </c>
      <c r="G88" s="116" t="s">
        <v>363</v>
      </c>
      <c r="H88" s="117">
        <f t="shared" si="2"/>
        <v>0</v>
      </c>
      <c r="I88" s="117"/>
      <c r="J88" s="117"/>
      <c r="K88" s="118"/>
      <c r="L88" s="122"/>
      <c r="M88" s="117"/>
      <c r="N88" s="117"/>
    </row>
    <row r="89" spans="1:14" s="127" customFormat="1" ht="24" customHeight="1">
      <c r="A89" s="135" t="s">
        <v>375</v>
      </c>
      <c r="B89" s="114"/>
      <c r="C89" s="114">
        <v>420</v>
      </c>
      <c r="D89" s="115" t="s">
        <v>521</v>
      </c>
      <c r="E89" s="114"/>
      <c r="F89" s="114">
        <v>420</v>
      </c>
      <c r="G89" s="116" t="s">
        <v>363</v>
      </c>
      <c r="H89" s="117">
        <f t="shared" si="2"/>
        <v>0</v>
      </c>
      <c r="I89" s="117"/>
      <c r="J89" s="117"/>
      <c r="K89" s="118"/>
      <c r="L89" s="122"/>
      <c r="M89" s="117"/>
      <c r="N89" s="117"/>
    </row>
    <row r="90" spans="1:14" s="127" customFormat="1" ht="24" customHeight="1">
      <c r="A90" s="135" t="s">
        <v>376</v>
      </c>
      <c r="B90" s="114"/>
      <c r="C90" s="114">
        <v>430</v>
      </c>
      <c r="D90" s="115" t="s">
        <v>521</v>
      </c>
      <c r="E90" s="114"/>
      <c r="F90" s="114">
        <v>430</v>
      </c>
      <c r="G90" s="116" t="s">
        <v>363</v>
      </c>
      <c r="H90" s="117">
        <f t="shared" si="2"/>
        <v>0</v>
      </c>
      <c r="I90" s="117"/>
      <c r="J90" s="117"/>
      <c r="K90" s="118"/>
      <c r="L90" s="122"/>
      <c r="M90" s="117"/>
      <c r="N90" s="117"/>
    </row>
    <row r="91" spans="1:14" s="120" customFormat="1" ht="24" customHeight="1">
      <c r="A91" s="135" t="s">
        <v>425</v>
      </c>
      <c r="B91" s="114"/>
      <c r="C91" s="114">
        <v>440</v>
      </c>
      <c r="D91" s="115" t="s">
        <v>521</v>
      </c>
      <c r="E91" s="114"/>
      <c r="F91" s="114">
        <v>440</v>
      </c>
      <c r="G91" s="116" t="s">
        <v>363</v>
      </c>
      <c r="H91" s="117">
        <f>M91</f>
        <v>0</v>
      </c>
      <c r="I91" s="117"/>
      <c r="J91" s="117"/>
      <c r="K91" s="118"/>
      <c r="L91" s="122"/>
      <c r="M91" s="117"/>
      <c r="N91" s="117"/>
    </row>
    <row r="92" spans="1:14" s="127" customFormat="1" ht="24" customHeight="1">
      <c r="A92" s="135" t="s">
        <v>377</v>
      </c>
      <c r="B92" s="114"/>
      <c r="C92" s="114">
        <v>450</v>
      </c>
      <c r="D92" s="115" t="s">
        <v>521</v>
      </c>
      <c r="E92" s="114"/>
      <c r="F92" s="114">
        <v>450</v>
      </c>
      <c r="G92" s="116" t="s">
        <v>363</v>
      </c>
      <c r="H92" s="117">
        <f t="shared" si="2"/>
        <v>0</v>
      </c>
      <c r="I92" s="117"/>
      <c r="J92" s="117"/>
      <c r="K92" s="118"/>
      <c r="L92" s="122"/>
      <c r="M92" s="117"/>
      <c r="N92" s="117"/>
    </row>
    <row r="93" spans="1:14" s="8" customFormat="1" ht="11.25" customHeight="1">
      <c r="A93" s="136" t="s">
        <v>44</v>
      </c>
      <c r="B93" s="137">
        <v>200</v>
      </c>
      <c r="C93" s="137"/>
      <c r="D93" s="137"/>
      <c r="E93" s="137"/>
      <c r="F93" s="138"/>
      <c r="G93" s="138"/>
      <c r="H93" s="139">
        <f>I93+J93+M93</f>
        <v>76560815.24000001</v>
      </c>
      <c r="I93" s="139">
        <f aca="true" t="shared" si="3" ref="I93:N93">I95+I140+I154+I170+I171+I175</f>
        <v>51163721.339999996</v>
      </c>
      <c r="J93" s="139">
        <f t="shared" si="3"/>
        <v>6695968.66</v>
      </c>
      <c r="K93" s="139">
        <f t="shared" si="3"/>
        <v>0</v>
      </c>
      <c r="L93" s="139">
        <f t="shared" si="3"/>
        <v>0</v>
      </c>
      <c r="M93" s="139">
        <f t="shared" si="3"/>
        <v>18701125.240000002</v>
      </c>
      <c r="N93" s="139">
        <f t="shared" si="3"/>
        <v>0</v>
      </c>
    </row>
    <row r="94" spans="1:14" s="8" customFormat="1" ht="13.5" customHeight="1">
      <c r="A94" s="140" t="s">
        <v>4</v>
      </c>
      <c r="B94" s="108"/>
      <c r="C94" s="108"/>
      <c r="D94" s="108"/>
      <c r="E94" s="108"/>
      <c r="F94" s="108"/>
      <c r="G94" s="109"/>
      <c r="H94" s="124"/>
      <c r="I94" s="124"/>
      <c r="J94" s="124"/>
      <c r="K94" s="112"/>
      <c r="L94" s="112"/>
      <c r="M94" s="112"/>
      <c r="N94" s="112"/>
    </row>
    <row r="95" spans="1:14" s="160" customFormat="1" ht="13.5" customHeight="1">
      <c r="A95" s="175" t="s">
        <v>296</v>
      </c>
      <c r="B95" s="173">
        <v>210</v>
      </c>
      <c r="C95" s="173"/>
      <c r="D95" s="173"/>
      <c r="E95" s="173"/>
      <c r="F95" s="173"/>
      <c r="G95" s="176"/>
      <c r="H95" s="159">
        <f>H97+SUM(H114:H139)</f>
        <v>48891179.39</v>
      </c>
      <c r="I95" s="159">
        <f>I97+SUM(I114:I139)</f>
        <v>37130872.9</v>
      </c>
      <c r="J95" s="159">
        <f>J97+SUM(J114:J139)</f>
        <v>4680444.1899999995</v>
      </c>
      <c r="K95" s="159">
        <f>K97</f>
        <v>0</v>
      </c>
      <c r="L95" s="159">
        <f>L97</f>
        <v>0</v>
      </c>
      <c r="M95" s="159">
        <f>M97+SUM(M114:M139)</f>
        <v>7452862.300000001</v>
      </c>
      <c r="N95" s="159">
        <f>N97</f>
        <v>0</v>
      </c>
    </row>
    <row r="96" spans="1:14" s="8" customFormat="1" ht="13.5" customHeight="1">
      <c r="A96" s="141" t="s">
        <v>3</v>
      </c>
      <c r="B96" s="114"/>
      <c r="C96" s="114"/>
      <c r="D96" s="114"/>
      <c r="E96" s="114"/>
      <c r="F96" s="114"/>
      <c r="G96" s="121"/>
      <c r="H96" s="117"/>
      <c r="I96" s="124"/>
      <c r="J96" s="124"/>
      <c r="K96" s="112"/>
      <c r="L96" s="112"/>
      <c r="M96" s="112"/>
      <c r="N96" s="112"/>
    </row>
    <row r="97" spans="1:14" s="160" customFormat="1" ht="25.5" customHeight="1">
      <c r="A97" s="155" t="s">
        <v>297</v>
      </c>
      <c r="B97" s="156">
        <v>211</v>
      </c>
      <c r="C97" s="156"/>
      <c r="D97" s="156"/>
      <c r="E97" s="156"/>
      <c r="F97" s="156"/>
      <c r="G97" s="157"/>
      <c r="H97" s="158">
        <f>SUM(H99:H110)</f>
        <v>37090931.33</v>
      </c>
      <c r="I97" s="158">
        <f>SUM(I99:I110)</f>
        <v>28419434.659999996</v>
      </c>
      <c r="J97" s="158">
        <f>SUM(J99:J110)</f>
        <v>3320332.02</v>
      </c>
      <c r="K97" s="158">
        <f>SUM(K99:K110)</f>
        <v>0</v>
      </c>
      <c r="L97" s="158">
        <f>SUM(L99:L110)</f>
        <v>0</v>
      </c>
      <c r="M97" s="158">
        <f>SUM(M99:M113)</f>
        <v>5724164.65</v>
      </c>
      <c r="N97" s="159">
        <f>N99+N114+N122+N129</f>
        <v>0</v>
      </c>
    </row>
    <row r="98" spans="1:14" s="8" customFormat="1" ht="16.5" customHeight="1">
      <c r="A98" s="141" t="s">
        <v>4</v>
      </c>
      <c r="B98" s="114"/>
      <c r="C98" s="114"/>
      <c r="D98" s="114"/>
      <c r="E98" s="114"/>
      <c r="F98" s="114"/>
      <c r="G98" s="121"/>
      <c r="H98" s="117"/>
      <c r="I98" s="124"/>
      <c r="J98" s="124"/>
      <c r="K98" s="112"/>
      <c r="L98" s="112"/>
      <c r="M98" s="112"/>
      <c r="N98" s="112"/>
    </row>
    <row r="99" spans="1:14" s="8" customFormat="1" ht="16.5" customHeight="1">
      <c r="A99" s="141" t="s">
        <v>298</v>
      </c>
      <c r="B99" s="114"/>
      <c r="C99" s="114">
        <v>211</v>
      </c>
      <c r="D99" s="115" t="s">
        <v>522</v>
      </c>
      <c r="E99" s="114">
        <v>111</v>
      </c>
      <c r="F99" s="114">
        <v>211</v>
      </c>
      <c r="G99" s="101" t="s">
        <v>523</v>
      </c>
      <c r="H99" s="117">
        <f>I99+J99+K99+L99+M99+N99</f>
        <v>20114739.49</v>
      </c>
      <c r="I99" s="124">
        <f>18060150.53+226690.97-123437.53+1951335.52</f>
        <v>20114739.49</v>
      </c>
      <c r="J99" s="124"/>
      <c r="K99" s="112"/>
      <c r="L99" s="112"/>
      <c r="M99" s="112"/>
      <c r="N99" s="112"/>
    </row>
    <row r="100" spans="1:14" s="8" customFormat="1" ht="16.5" customHeight="1">
      <c r="A100" s="141" t="s">
        <v>298</v>
      </c>
      <c r="B100" s="486"/>
      <c r="C100" s="486">
        <v>211</v>
      </c>
      <c r="D100" s="487" t="s">
        <v>522</v>
      </c>
      <c r="E100" s="488">
        <v>111</v>
      </c>
      <c r="F100" s="488">
        <v>211</v>
      </c>
      <c r="G100" s="489" t="s">
        <v>826</v>
      </c>
      <c r="H100" s="490">
        <f>I100+J100+K100+L100+M100+N100</f>
        <v>8164695.17</v>
      </c>
      <c r="I100" s="485">
        <v>8164695.17</v>
      </c>
      <c r="J100" s="124"/>
      <c r="K100" s="112"/>
      <c r="L100" s="112"/>
      <c r="M100" s="112"/>
      <c r="N100" s="112"/>
    </row>
    <row r="101" spans="1:14" s="8" customFormat="1" ht="16.5" customHeight="1">
      <c r="A101" s="141" t="s">
        <v>298</v>
      </c>
      <c r="B101" s="486"/>
      <c r="C101" s="486">
        <v>266</v>
      </c>
      <c r="D101" s="487" t="s">
        <v>522</v>
      </c>
      <c r="E101" s="488">
        <v>111</v>
      </c>
      <c r="F101" s="488">
        <v>266</v>
      </c>
      <c r="G101" s="489" t="s">
        <v>826</v>
      </c>
      <c r="H101" s="490">
        <f>I101+J101+K101+L101+M101+N101</f>
        <v>120000</v>
      </c>
      <c r="I101" s="485">
        <v>120000</v>
      </c>
      <c r="J101" s="124"/>
      <c r="K101" s="112"/>
      <c r="L101" s="112"/>
      <c r="M101" s="112"/>
      <c r="N101" s="112"/>
    </row>
    <row r="102" spans="1:14" s="8" customFormat="1" ht="16.5" customHeight="1" hidden="1">
      <c r="A102" s="141" t="s">
        <v>298</v>
      </c>
      <c r="B102" s="486"/>
      <c r="C102" s="486">
        <v>211</v>
      </c>
      <c r="D102" s="487" t="s">
        <v>522</v>
      </c>
      <c r="E102" s="488">
        <v>111</v>
      </c>
      <c r="F102" s="488">
        <v>211</v>
      </c>
      <c r="G102" s="489" t="s">
        <v>523</v>
      </c>
      <c r="H102" s="490">
        <f>I102+J102+K102+L102+M102+N102</f>
        <v>0</v>
      </c>
      <c r="I102" s="485"/>
      <c r="J102" s="124"/>
      <c r="K102" s="112"/>
      <c r="L102" s="112"/>
      <c r="M102" s="112"/>
      <c r="N102" s="112"/>
    </row>
    <row r="103" spans="1:14" s="8" customFormat="1" ht="16.5" customHeight="1">
      <c r="A103" s="141" t="s">
        <v>298</v>
      </c>
      <c r="B103" s="486"/>
      <c r="C103" s="486">
        <v>266</v>
      </c>
      <c r="D103" s="487" t="s">
        <v>522</v>
      </c>
      <c r="E103" s="488">
        <v>111</v>
      </c>
      <c r="F103" s="488">
        <v>266</v>
      </c>
      <c r="G103" s="489" t="s">
        <v>523</v>
      </c>
      <c r="H103" s="490">
        <f>I103+J103+K103+L103+M103+N103</f>
        <v>20000</v>
      </c>
      <c r="I103" s="485">
        <v>20000</v>
      </c>
      <c r="J103" s="124"/>
      <c r="K103" s="112"/>
      <c r="L103" s="112"/>
      <c r="M103" s="112"/>
      <c r="N103" s="112"/>
    </row>
    <row r="104" spans="1:14" s="8" customFormat="1" ht="16.5" customHeight="1">
      <c r="A104" s="141" t="s">
        <v>298</v>
      </c>
      <c r="B104" s="114"/>
      <c r="C104" s="114">
        <v>211</v>
      </c>
      <c r="D104" s="114">
        <v>901480000</v>
      </c>
      <c r="E104" s="114">
        <v>111</v>
      </c>
      <c r="F104" s="114">
        <v>211</v>
      </c>
      <c r="G104" s="101" t="s">
        <v>523</v>
      </c>
      <c r="H104" s="117">
        <f>SUM(I104:J104)</f>
        <v>1944396.86</v>
      </c>
      <c r="I104" s="124"/>
      <c r="J104" s="124">
        <f>1291679.72-7680.49+314345.35+346052.28</f>
        <v>1944396.86</v>
      </c>
      <c r="K104" s="112"/>
      <c r="L104" s="112"/>
      <c r="M104" s="112"/>
      <c r="N104" s="112"/>
    </row>
    <row r="105" spans="1:14" s="8" customFormat="1" ht="16.5" customHeight="1">
      <c r="A105" s="141" t="s">
        <v>298</v>
      </c>
      <c r="B105" s="114"/>
      <c r="C105" s="114">
        <v>211</v>
      </c>
      <c r="D105" s="114">
        <v>901160000</v>
      </c>
      <c r="E105" s="114">
        <v>111</v>
      </c>
      <c r="F105" s="114">
        <v>211</v>
      </c>
      <c r="G105" s="101" t="s">
        <v>523</v>
      </c>
      <c r="H105" s="117">
        <f>SUM(I105:J105)</f>
        <v>847763.81</v>
      </c>
      <c r="I105" s="124"/>
      <c r="J105" s="124">
        <f>729373.27-3668.08+27790.49+94268.13</f>
        <v>847763.81</v>
      </c>
      <c r="K105" s="112"/>
      <c r="L105" s="112"/>
      <c r="M105" s="112"/>
      <c r="N105" s="112"/>
    </row>
    <row r="106" spans="1:14" s="8" customFormat="1" ht="16.5" customHeight="1">
      <c r="A106" s="141" t="s">
        <v>298</v>
      </c>
      <c r="B106" s="114"/>
      <c r="C106" s="114">
        <v>211</v>
      </c>
      <c r="D106" s="114">
        <v>901830000</v>
      </c>
      <c r="E106" s="114">
        <v>111</v>
      </c>
      <c r="F106" s="114">
        <v>211</v>
      </c>
      <c r="G106" s="101" t="s">
        <v>523</v>
      </c>
      <c r="H106" s="117">
        <f>SUM(I106:J106)</f>
        <v>528171.35</v>
      </c>
      <c r="I106" s="124"/>
      <c r="J106" s="124">
        <f>408936.68+2.1+30817.51+1.03+88414.03</f>
        <v>528171.35</v>
      </c>
      <c r="K106" s="112"/>
      <c r="L106" s="112"/>
      <c r="M106" s="112"/>
      <c r="N106" s="112"/>
    </row>
    <row r="107" spans="1:14" s="8" customFormat="1" ht="16.5" customHeight="1" hidden="1">
      <c r="A107" s="141" t="s">
        <v>298</v>
      </c>
      <c r="B107" s="486"/>
      <c r="C107" s="486">
        <v>211</v>
      </c>
      <c r="D107" s="488">
        <v>901480000</v>
      </c>
      <c r="E107" s="486">
        <v>111</v>
      </c>
      <c r="F107" s="486">
        <v>211</v>
      </c>
      <c r="G107" s="499" t="s">
        <v>523</v>
      </c>
      <c r="H107" s="490">
        <f>I107+J107+K107+L107+M107+N107</f>
        <v>0</v>
      </c>
      <c r="I107" s="484">
        <v>0</v>
      </c>
      <c r="J107" s="485"/>
      <c r="K107" s="112"/>
      <c r="L107" s="112"/>
      <c r="M107" s="112"/>
      <c r="N107" s="112"/>
    </row>
    <row r="108" spans="1:14" s="8" customFormat="1" ht="16.5" customHeight="1" hidden="1">
      <c r="A108" s="141" t="s">
        <v>298</v>
      </c>
      <c r="B108" s="486"/>
      <c r="C108" s="486">
        <v>211</v>
      </c>
      <c r="D108" s="488">
        <v>901160000</v>
      </c>
      <c r="E108" s="486">
        <v>111</v>
      </c>
      <c r="F108" s="486">
        <v>211</v>
      </c>
      <c r="G108" s="499" t="s">
        <v>523</v>
      </c>
      <c r="H108" s="490">
        <f>I108+J108+K108+L108+M108+N108</f>
        <v>0</v>
      </c>
      <c r="I108" s="484">
        <v>0</v>
      </c>
      <c r="J108" s="485"/>
      <c r="K108" s="112"/>
      <c r="L108" s="112"/>
      <c r="M108" s="112"/>
      <c r="N108" s="112"/>
    </row>
    <row r="109" spans="1:14" s="8" customFormat="1" ht="16.5" customHeight="1" hidden="1">
      <c r="A109" s="141" t="s">
        <v>298</v>
      </c>
      <c r="B109" s="486"/>
      <c r="C109" s="486">
        <v>211</v>
      </c>
      <c r="D109" s="488">
        <v>901830000</v>
      </c>
      <c r="E109" s="486">
        <v>111</v>
      </c>
      <c r="F109" s="486">
        <v>211</v>
      </c>
      <c r="G109" s="499" t="s">
        <v>523</v>
      </c>
      <c r="H109" s="490">
        <f>I109+J109+K109+L109+M109+N109</f>
        <v>0</v>
      </c>
      <c r="I109" s="484">
        <v>0</v>
      </c>
      <c r="J109" s="485"/>
      <c r="K109" s="112"/>
      <c r="L109" s="112"/>
      <c r="M109" s="112"/>
      <c r="N109" s="112"/>
    </row>
    <row r="110" spans="1:14" s="8" customFormat="1" ht="16.5" customHeight="1">
      <c r="A110" s="141" t="s">
        <v>298</v>
      </c>
      <c r="B110" s="114"/>
      <c r="C110" s="114">
        <v>211</v>
      </c>
      <c r="D110" s="115" t="s">
        <v>521</v>
      </c>
      <c r="E110" s="114">
        <v>111</v>
      </c>
      <c r="F110" s="114">
        <v>211</v>
      </c>
      <c r="G110" s="101" t="s">
        <v>530</v>
      </c>
      <c r="H110" s="117">
        <f>SUM(I110:M110)</f>
        <v>5351164.65</v>
      </c>
      <c r="I110" s="124"/>
      <c r="J110" s="124"/>
      <c r="K110" s="112"/>
      <c r="L110" s="112"/>
      <c r="M110" s="112">
        <v>5351164.65</v>
      </c>
      <c r="N110" s="112"/>
    </row>
    <row r="111" spans="1:14" s="8" customFormat="1" ht="16.5" customHeight="1">
      <c r="A111" s="141" t="s">
        <v>298</v>
      </c>
      <c r="B111" s="486"/>
      <c r="C111" s="488">
        <v>211</v>
      </c>
      <c r="D111" s="497" t="s">
        <v>521</v>
      </c>
      <c r="E111" s="488">
        <v>111</v>
      </c>
      <c r="F111" s="488">
        <v>211</v>
      </c>
      <c r="G111" s="491" t="s">
        <v>530</v>
      </c>
      <c r="H111" s="490">
        <f>I111+J111+K111+L111+M111+N111</f>
        <v>365000</v>
      </c>
      <c r="I111" s="484">
        <v>0</v>
      </c>
      <c r="J111" s="484">
        <v>0</v>
      </c>
      <c r="K111" s="498">
        <v>0</v>
      </c>
      <c r="L111" s="498">
        <v>0</v>
      </c>
      <c r="M111" s="496">
        <v>365000</v>
      </c>
      <c r="N111" s="112"/>
    </row>
    <row r="112" spans="1:14" s="8" customFormat="1" ht="16.5" customHeight="1">
      <c r="A112" s="141" t="s">
        <v>298</v>
      </c>
      <c r="B112" s="486"/>
      <c r="C112" s="488">
        <v>266</v>
      </c>
      <c r="D112" s="497" t="s">
        <v>521</v>
      </c>
      <c r="E112" s="488">
        <v>111</v>
      </c>
      <c r="F112" s="488">
        <v>266</v>
      </c>
      <c r="G112" s="491" t="s">
        <v>530</v>
      </c>
      <c r="H112" s="490">
        <f>I112+J112+K112+L112+M112+N112</f>
        <v>5000</v>
      </c>
      <c r="I112" s="484"/>
      <c r="J112" s="484"/>
      <c r="K112" s="498"/>
      <c r="L112" s="498"/>
      <c r="M112" s="496">
        <v>5000</v>
      </c>
      <c r="N112" s="112"/>
    </row>
    <row r="113" spans="1:14" s="8" customFormat="1" ht="16.5" customHeight="1">
      <c r="A113" s="141" t="s">
        <v>298</v>
      </c>
      <c r="B113" s="486"/>
      <c r="C113" s="488">
        <v>266</v>
      </c>
      <c r="D113" s="497" t="s">
        <v>521</v>
      </c>
      <c r="E113" s="488">
        <v>111</v>
      </c>
      <c r="F113" s="488">
        <v>266</v>
      </c>
      <c r="G113" s="491" t="s">
        <v>530</v>
      </c>
      <c r="H113" s="490">
        <f>I113+J113+K113+L113+M113+N113</f>
        <v>3000</v>
      </c>
      <c r="I113" s="484">
        <v>0</v>
      </c>
      <c r="J113" s="484">
        <v>0</v>
      </c>
      <c r="K113" s="498">
        <v>0</v>
      </c>
      <c r="L113" s="498">
        <v>0</v>
      </c>
      <c r="M113" s="495">
        <v>3000</v>
      </c>
      <c r="N113" s="112"/>
    </row>
    <row r="114" spans="1:14" s="8" customFormat="1" ht="16.5" customHeight="1">
      <c r="A114" s="141" t="s">
        <v>299</v>
      </c>
      <c r="B114" s="114"/>
      <c r="C114" s="114">
        <v>266</v>
      </c>
      <c r="D114" s="115" t="s">
        <v>522</v>
      </c>
      <c r="E114" s="114">
        <v>111</v>
      </c>
      <c r="F114" s="114">
        <v>266</v>
      </c>
      <c r="G114" s="101" t="s">
        <v>523</v>
      </c>
      <c r="H114" s="117">
        <f>I114+J114+K114+L114+M114+N114</f>
        <v>127432.87</v>
      </c>
      <c r="I114" s="124">
        <v>127432.87</v>
      </c>
      <c r="J114" s="124"/>
      <c r="K114" s="112"/>
      <c r="L114" s="112"/>
      <c r="M114" s="112"/>
      <c r="N114" s="112"/>
    </row>
    <row r="115" spans="1:14" s="8" customFormat="1" ht="16.5" customHeight="1">
      <c r="A115" s="141" t="s">
        <v>299</v>
      </c>
      <c r="B115" s="114"/>
      <c r="C115" s="114">
        <v>266</v>
      </c>
      <c r="D115" s="114">
        <v>901480000</v>
      </c>
      <c r="E115" s="114">
        <v>111</v>
      </c>
      <c r="F115" s="114">
        <v>266</v>
      </c>
      <c r="G115" s="101" t="s">
        <v>523</v>
      </c>
      <c r="H115" s="117">
        <f>SUM(I115:J115)</f>
        <v>15000</v>
      </c>
      <c r="I115" s="124"/>
      <c r="J115" s="124">
        <v>15000</v>
      </c>
      <c r="K115" s="112"/>
      <c r="L115" s="112"/>
      <c r="M115" s="112"/>
      <c r="N115" s="112"/>
    </row>
    <row r="116" spans="1:14" s="8" customFormat="1" ht="16.5" customHeight="1">
      <c r="A116" s="141" t="s">
        <v>299</v>
      </c>
      <c r="B116" s="114"/>
      <c r="C116" s="114">
        <v>266</v>
      </c>
      <c r="D116" s="114">
        <v>901160000</v>
      </c>
      <c r="E116" s="114">
        <v>111</v>
      </c>
      <c r="F116" s="114">
        <v>266</v>
      </c>
      <c r="G116" s="101" t="s">
        <v>523</v>
      </c>
      <c r="H116" s="117">
        <f>SUM(I116:J116)</f>
        <v>6775.84</v>
      </c>
      <c r="I116" s="124"/>
      <c r="J116" s="124">
        <f>4775.84+2000</f>
        <v>6775.84</v>
      </c>
      <c r="K116" s="112"/>
      <c r="L116" s="112"/>
      <c r="M116" s="112"/>
      <c r="N116" s="112"/>
    </row>
    <row r="117" spans="1:14" s="8" customFormat="1" ht="16.5" customHeight="1" hidden="1">
      <c r="A117" s="141" t="s">
        <v>298</v>
      </c>
      <c r="B117" s="486"/>
      <c r="C117" s="486">
        <v>266</v>
      </c>
      <c r="D117" s="488">
        <v>901480000</v>
      </c>
      <c r="E117" s="486">
        <v>111</v>
      </c>
      <c r="F117" s="486">
        <v>266</v>
      </c>
      <c r="G117" s="499" t="s">
        <v>523</v>
      </c>
      <c r="H117" s="490">
        <f>I117+J117+K117+L117+M117+N117</f>
        <v>0</v>
      </c>
      <c r="I117" s="484">
        <v>0</v>
      </c>
      <c r="J117" s="485"/>
      <c r="K117" s="112"/>
      <c r="L117" s="112"/>
      <c r="M117" s="112"/>
      <c r="N117" s="112"/>
    </row>
    <row r="118" spans="1:14" s="8" customFormat="1" ht="16.5" customHeight="1" hidden="1">
      <c r="A118" s="141" t="s">
        <v>298</v>
      </c>
      <c r="B118" s="486"/>
      <c r="C118" s="486">
        <v>266</v>
      </c>
      <c r="D118" s="488">
        <v>901160000</v>
      </c>
      <c r="E118" s="486">
        <v>111</v>
      </c>
      <c r="F118" s="486">
        <v>266</v>
      </c>
      <c r="G118" s="499" t="s">
        <v>523</v>
      </c>
      <c r="H118" s="490">
        <f>I118+J118+K118+L118+M118+N118</f>
        <v>0</v>
      </c>
      <c r="I118" s="484">
        <v>0</v>
      </c>
      <c r="J118" s="485"/>
      <c r="K118" s="112"/>
      <c r="L118" s="112"/>
      <c r="M118" s="112"/>
      <c r="N118" s="112"/>
    </row>
    <row r="119" spans="1:14" s="8" customFormat="1" ht="16.5" customHeight="1">
      <c r="A119" s="141" t="s">
        <v>298</v>
      </c>
      <c r="B119" s="486"/>
      <c r="C119" s="486">
        <v>266</v>
      </c>
      <c r="D119" s="488">
        <v>901830000</v>
      </c>
      <c r="E119" s="486">
        <v>111</v>
      </c>
      <c r="F119" s="486">
        <v>266</v>
      </c>
      <c r="G119" s="499" t="s">
        <v>523</v>
      </c>
      <c r="H119" s="490">
        <f>I119+J119+K119+L119+M119+N119</f>
        <v>1000</v>
      </c>
      <c r="I119" s="484">
        <v>0</v>
      </c>
      <c r="J119" s="485">
        <v>1000</v>
      </c>
      <c r="K119" s="112"/>
      <c r="L119" s="112"/>
      <c r="M119" s="112"/>
      <c r="N119" s="112"/>
    </row>
    <row r="120" spans="1:14" s="8" customFormat="1" ht="50.25" customHeight="1">
      <c r="A120" s="141" t="s">
        <v>300</v>
      </c>
      <c r="B120" s="486"/>
      <c r="C120" s="488">
        <v>266</v>
      </c>
      <c r="D120" s="487" t="s">
        <v>522</v>
      </c>
      <c r="E120" s="488">
        <v>112</v>
      </c>
      <c r="F120" s="488">
        <v>266</v>
      </c>
      <c r="G120" s="489" t="s">
        <v>826</v>
      </c>
      <c r="H120" s="490">
        <f aca="true" t="shared" si="4" ref="H120:H131">I120+J120+K120+L120+M120+N120</f>
        <v>778.3</v>
      </c>
      <c r="I120" s="485">
        <v>778.3</v>
      </c>
      <c r="J120" s="124"/>
      <c r="K120" s="112"/>
      <c r="L120" s="112"/>
      <c r="M120" s="112"/>
      <c r="N120" s="112"/>
    </row>
    <row r="121" spans="1:14" s="8" customFormat="1" ht="53.25" customHeight="1">
      <c r="A121" s="141" t="s">
        <v>300</v>
      </c>
      <c r="B121" s="486"/>
      <c r="C121" s="488">
        <v>266</v>
      </c>
      <c r="D121" s="487" t="s">
        <v>522</v>
      </c>
      <c r="E121" s="488">
        <v>112</v>
      </c>
      <c r="F121" s="488">
        <v>266</v>
      </c>
      <c r="G121" s="489" t="s">
        <v>523</v>
      </c>
      <c r="H121" s="490">
        <f t="shared" si="4"/>
        <v>555</v>
      </c>
      <c r="I121" s="485">
        <v>555</v>
      </c>
      <c r="J121" s="124"/>
      <c r="K121" s="112"/>
      <c r="L121" s="112"/>
      <c r="M121" s="112"/>
      <c r="N121" s="112"/>
    </row>
    <row r="122" spans="1:14" s="8" customFormat="1" ht="54" customHeight="1">
      <c r="A122" s="141" t="s">
        <v>300</v>
      </c>
      <c r="B122" s="114"/>
      <c r="C122" s="114">
        <v>266</v>
      </c>
      <c r="D122" s="114">
        <v>901480000</v>
      </c>
      <c r="E122" s="114">
        <v>112</v>
      </c>
      <c r="F122" s="114">
        <v>266</v>
      </c>
      <c r="G122" s="116" t="s">
        <v>523</v>
      </c>
      <c r="H122" s="177">
        <f t="shared" si="4"/>
        <v>200000</v>
      </c>
      <c r="I122" s="178"/>
      <c r="J122" s="178">
        <v>200000</v>
      </c>
      <c r="K122" s="112"/>
      <c r="L122" s="112"/>
      <c r="M122" s="112"/>
      <c r="N122" s="112"/>
    </row>
    <row r="123" spans="1:14" s="8" customFormat="1" ht="54" customHeight="1" hidden="1">
      <c r="A123" s="141" t="s">
        <v>843</v>
      </c>
      <c r="B123" s="486"/>
      <c r="C123" s="488">
        <v>266</v>
      </c>
      <c r="D123" s="488">
        <v>901480000</v>
      </c>
      <c r="E123" s="488">
        <v>112</v>
      </c>
      <c r="F123" s="488">
        <v>266</v>
      </c>
      <c r="G123" s="499" t="s">
        <v>523</v>
      </c>
      <c r="H123" s="490">
        <f t="shared" si="4"/>
        <v>0</v>
      </c>
      <c r="I123" s="484">
        <v>0</v>
      </c>
      <c r="J123" s="485"/>
      <c r="K123" s="112"/>
      <c r="L123" s="112"/>
      <c r="M123" s="112"/>
      <c r="N123" s="112"/>
    </row>
    <row r="124" spans="1:14" s="8" customFormat="1" ht="54" customHeight="1">
      <c r="A124" s="141" t="s">
        <v>300</v>
      </c>
      <c r="B124" s="114"/>
      <c r="C124" s="114">
        <v>266</v>
      </c>
      <c r="D124" s="114">
        <v>901170000</v>
      </c>
      <c r="E124" s="114">
        <v>112</v>
      </c>
      <c r="F124" s="114">
        <v>266</v>
      </c>
      <c r="G124" s="116" t="s">
        <v>850</v>
      </c>
      <c r="H124" s="177">
        <f t="shared" si="4"/>
        <v>90000</v>
      </c>
      <c r="I124" s="178"/>
      <c r="J124" s="178">
        <v>90000</v>
      </c>
      <c r="K124" s="112"/>
      <c r="L124" s="112"/>
      <c r="M124" s="112"/>
      <c r="N124" s="112"/>
    </row>
    <row r="125" spans="1:14" s="8" customFormat="1" ht="54" customHeight="1">
      <c r="A125" s="113" t="s">
        <v>839</v>
      </c>
      <c r="B125" s="114"/>
      <c r="C125" s="114">
        <v>267</v>
      </c>
      <c r="D125" s="114">
        <v>901030000</v>
      </c>
      <c r="E125" s="114">
        <v>112</v>
      </c>
      <c r="F125" s="114">
        <v>267</v>
      </c>
      <c r="G125" s="499" t="s">
        <v>840</v>
      </c>
      <c r="H125" s="177">
        <f t="shared" si="4"/>
        <v>18079.2</v>
      </c>
      <c r="I125" s="178"/>
      <c r="J125" s="178">
        <f>9039.6*2</f>
        <v>18079.2</v>
      </c>
      <c r="K125" s="112"/>
      <c r="L125" s="112"/>
      <c r="M125" s="112"/>
      <c r="N125" s="112"/>
    </row>
    <row r="126" spans="1:14" s="8" customFormat="1" ht="54" customHeight="1">
      <c r="A126" s="113" t="s">
        <v>841</v>
      </c>
      <c r="B126" s="114"/>
      <c r="C126" s="114">
        <v>267</v>
      </c>
      <c r="D126" s="114">
        <v>901490000</v>
      </c>
      <c r="E126" s="114">
        <v>112</v>
      </c>
      <c r="F126" s="114">
        <v>267</v>
      </c>
      <c r="G126" s="499" t="s">
        <v>840</v>
      </c>
      <c r="H126" s="177">
        <f t="shared" si="4"/>
        <v>24105.6</v>
      </c>
      <c r="I126" s="178"/>
      <c r="J126" s="178">
        <f>12052.8*2</f>
        <v>24105.6</v>
      </c>
      <c r="K126" s="112"/>
      <c r="L126" s="112"/>
      <c r="M126" s="112"/>
      <c r="N126" s="112"/>
    </row>
    <row r="127" spans="1:14" s="8" customFormat="1" ht="54" customHeight="1" hidden="1">
      <c r="A127" s="113" t="s">
        <v>839</v>
      </c>
      <c r="B127" s="488"/>
      <c r="C127" s="488">
        <v>267</v>
      </c>
      <c r="D127" s="488">
        <v>901030000</v>
      </c>
      <c r="E127" s="488">
        <v>112</v>
      </c>
      <c r="F127" s="488">
        <v>267</v>
      </c>
      <c r="G127" s="499" t="s">
        <v>840</v>
      </c>
      <c r="H127" s="490">
        <f t="shared" si="4"/>
        <v>0</v>
      </c>
      <c r="I127" s="484">
        <v>0</v>
      </c>
      <c r="J127" s="484"/>
      <c r="K127" s="112"/>
      <c r="L127" s="112"/>
      <c r="M127" s="112"/>
      <c r="N127" s="112"/>
    </row>
    <row r="128" spans="1:14" s="8" customFormat="1" ht="54" customHeight="1" hidden="1">
      <c r="A128" s="113" t="s">
        <v>841</v>
      </c>
      <c r="B128" s="488"/>
      <c r="C128" s="488">
        <v>267</v>
      </c>
      <c r="D128" s="488">
        <v>901490000</v>
      </c>
      <c r="E128" s="488">
        <v>112</v>
      </c>
      <c r="F128" s="488">
        <v>267</v>
      </c>
      <c r="G128" s="499" t="s">
        <v>840</v>
      </c>
      <c r="H128" s="490">
        <f t="shared" si="4"/>
        <v>0</v>
      </c>
      <c r="I128" s="484">
        <v>0</v>
      </c>
      <c r="J128" s="484"/>
      <c r="K128" s="112"/>
      <c r="L128" s="112"/>
      <c r="M128" s="112"/>
      <c r="N128" s="112"/>
    </row>
    <row r="129" spans="1:14" s="8" customFormat="1" ht="15.75" customHeight="1">
      <c r="A129" s="141" t="s">
        <v>301</v>
      </c>
      <c r="B129" s="114"/>
      <c r="C129" s="114">
        <v>213</v>
      </c>
      <c r="D129" s="115" t="s">
        <v>522</v>
      </c>
      <c r="E129" s="114">
        <v>119</v>
      </c>
      <c r="F129" s="114">
        <v>213</v>
      </c>
      <c r="G129" s="101" t="s">
        <v>523</v>
      </c>
      <c r="H129" s="117">
        <f t="shared" si="4"/>
        <v>6080694.5</v>
      </c>
      <c r="I129" s="124">
        <f>5454169.51+68460.67-37278.14+595342.46</f>
        <v>6080694.5</v>
      </c>
      <c r="J129" s="124"/>
      <c r="K129" s="112"/>
      <c r="L129" s="112"/>
      <c r="M129" s="112"/>
      <c r="N129" s="112"/>
    </row>
    <row r="130" spans="1:14" s="8" customFormat="1" ht="15.75" customHeight="1">
      <c r="A130" s="141" t="s">
        <v>301</v>
      </c>
      <c r="B130" s="486"/>
      <c r="C130" s="488">
        <v>213</v>
      </c>
      <c r="D130" s="487" t="s">
        <v>522</v>
      </c>
      <c r="E130" s="488">
        <v>119</v>
      </c>
      <c r="F130" s="488">
        <v>213</v>
      </c>
      <c r="G130" s="489" t="s">
        <v>826</v>
      </c>
      <c r="H130" s="490">
        <f t="shared" si="4"/>
        <v>2501977.57</v>
      </c>
      <c r="I130" s="485">
        <v>2501977.57</v>
      </c>
      <c r="J130" s="124"/>
      <c r="K130" s="112"/>
      <c r="L130" s="112"/>
      <c r="M130" s="112"/>
      <c r="N130" s="112"/>
    </row>
    <row r="131" spans="1:14" s="8" customFormat="1" ht="15.75" customHeight="1" hidden="1">
      <c r="A131" s="141" t="s">
        <v>301</v>
      </c>
      <c r="B131" s="486"/>
      <c r="C131" s="486">
        <v>213</v>
      </c>
      <c r="D131" s="487" t="s">
        <v>522</v>
      </c>
      <c r="E131" s="488">
        <v>119</v>
      </c>
      <c r="F131" s="488">
        <v>213</v>
      </c>
      <c r="G131" s="489" t="s">
        <v>523</v>
      </c>
      <c r="H131" s="490">
        <f t="shared" si="4"/>
        <v>0</v>
      </c>
      <c r="I131" s="485"/>
      <c r="J131" s="124"/>
      <c r="K131" s="112"/>
      <c r="L131" s="112"/>
      <c r="M131" s="112"/>
      <c r="N131" s="112"/>
    </row>
    <row r="132" spans="1:14" s="8" customFormat="1" ht="15.75" customHeight="1">
      <c r="A132" s="141" t="s">
        <v>301</v>
      </c>
      <c r="B132" s="114"/>
      <c r="C132" s="114">
        <v>213</v>
      </c>
      <c r="D132" s="114">
        <v>901480000</v>
      </c>
      <c r="E132" s="114">
        <v>119</v>
      </c>
      <c r="F132" s="114">
        <v>213</v>
      </c>
      <c r="G132" s="101" t="s">
        <v>523</v>
      </c>
      <c r="H132" s="117">
        <f>SUM(I132:J132)</f>
        <v>588717.19</v>
      </c>
      <c r="I132" s="124"/>
      <c r="J132" s="124">
        <f>390087.28-2319.51+94932.3+106017.12</f>
        <v>588717.19</v>
      </c>
      <c r="K132" s="112"/>
      <c r="L132" s="112"/>
      <c r="M132" s="112"/>
      <c r="N132" s="112"/>
    </row>
    <row r="133" spans="1:14" s="8" customFormat="1" ht="15.75" customHeight="1">
      <c r="A133" s="141" t="s">
        <v>301</v>
      </c>
      <c r="B133" s="114"/>
      <c r="C133" s="114">
        <v>213</v>
      </c>
      <c r="D133" s="114">
        <v>901160000</v>
      </c>
      <c r="E133" s="114">
        <v>119</v>
      </c>
      <c r="F133" s="114">
        <v>213</v>
      </c>
      <c r="G133" s="101" t="s">
        <v>523</v>
      </c>
      <c r="H133" s="117">
        <f>SUM(I133:J133)</f>
        <v>256628.67</v>
      </c>
      <c r="I133" s="124"/>
      <c r="J133" s="124">
        <f>220270.73-1107.76+8392.73+29072.97</f>
        <v>256628.67</v>
      </c>
      <c r="K133" s="112"/>
      <c r="L133" s="112"/>
      <c r="M133" s="112"/>
      <c r="N133" s="112"/>
    </row>
    <row r="134" spans="1:14" s="8" customFormat="1" ht="15.75" customHeight="1">
      <c r="A134" s="141" t="s">
        <v>301</v>
      </c>
      <c r="B134" s="114"/>
      <c r="C134" s="114">
        <v>213</v>
      </c>
      <c r="D134" s="114">
        <v>901830000</v>
      </c>
      <c r="E134" s="114">
        <v>119</v>
      </c>
      <c r="F134" s="114">
        <v>213</v>
      </c>
      <c r="G134" s="101" t="s">
        <v>523</v>
      </c>
      <c r="H134" s="117">
        <f>SUM(I134:J134)</f>
        <v>159805.66999999998</v>
      </c>
      <c r="I134" s="124"/>
      <c r="J134" s="124">
        <f>123498.88-2.1+9306.89-1.03+27003.03</f>
        <v>159805.66999999998</v>
      </c>
      <c r="K134" s="112"/>
      <c r="L134" s="112"/>
      <c r="M134" s="112"/>
      <c r="N134" s="112"/>
    </row>
    <row r="135" spans="1:14" s="8" customFormat="1" ht="15.75" customHeight="1" hidden="1">
      <c r="A135" s="141" t="s">
        <v>301</v>
      </c>
      <c r="B135" s="486"/>
      <c r="C135" s="488">
        <v>213</v>
      </c>
      <c r="D135" s="488">
        <v>901480000</v>
      </c>
      <c r="E135" s="488">
        <v>119</v>
      </c>
      <c r="F135" s="488">
        <v>213</v>
      </c>
      <c r="G135" s="499" t="s">
        <v>523</v>
      </c>
      <c r="H135" s="490">
        <f>I135+J135+K135+L135+M135+N135</f>
        <v>0</v>
      </c>
      <c r="I135" s="484">
        <v>0</v>
      </c>
      <c r="J135" s="485"/>
      <c r="K135" s="112"/>
      <c r="L135" s="112"/>
      <c r="M135" s="112"/>
      <c r="N135" s="112"/>
    </row>
    <row r="136" spans="1:14" s="8" customFormat="1" ht="15.75" customHeight="1" hidden="1">
      <c r="A136" s="141" t="s">
        <v>301</v>
      </c>
      <c r="B136" s="486"/>
      <c r="C136" s="488">
        <v>213</v>
      </c>
      <c r="D136" s="488">
        <v>901160000</v>
      </c>
      <c r="E136" s="488">
        <v>119</v>
      </c>
      <c r="F136" s="488">
        <v>213</v>
      </c>
      <c r="G136" s="499" t="s">
        <v>523</v>
      </c>
      <c r="H136" s="490">
        <f>I136+J136+K136+L136+M136+N136</f>
        <v>0</v>
      </c>
      <c r="I136" s="484">
        <v>0</v>
      </c>
      <c r="J136" s="485"/>
      <c r="K136" s="112"/>
      <c r="L136" s="112"/>
      <c r="M136" s="112"/>
      <c r="N136" s="112"/>
    </row>
    <row r="137" spans="1:14" s="8" customFormat="1" ht="15.75" customHeight="1" hidden="1">
      <c r="A137" s="141" t="s">
        <v>301</v>
      </c>
      <c r="B137" s="486"/>
      <c r="C137" s="488">
        <v>213</v>
      </c>
      <c r="D137" s="488">
        <v>901830000</v>
      </c>
      <c r="E137" s="488">
        <v>119</v>
      </c>
      <c r="F137" s="488">
        <v>213</v>
      </c>
      <c r="G137" s="499" t="s">
        <v>523</v>
      </c>
      <c r="H137" s="490">
        <f>I137+J137+K137+L137+M137+N137</f>
        <v>0</v>
      </c>
      <c r="I137" s="484">
        <v>0</v>
      </c>
      <c r="J137" s="485"/>
      <c r="K137" s="112"/>
      <c r="L137" s="112"/>
      <c r="M137" s="112"/>
      <c r="N137" s="112"/>
    </row>
    <row r="138" spans="1:14" s="8" customFormat="1" ht="15.75" customHeight="1">
      <c r="A138" s="141" t="s">
        <v>301</v>
      </c>
      <c r="B138" s="486"/>
      <c r="C138" s="486">
        <v>213</v>
      </c>
      <c r="D138" s="497" t="s">
        <v>521</v>
      </c>
      <c r="E138" s="488">
        <v>119</v>
      </c>
      <c r="F138" s="488">
        <v>213</v>
      </c>
      <c r="G138" s="491" t="s">
        <v>530</v>
      </c>
      <c r="H138" s="490">
        <f>I138+J138+K138+L138+M138+N138</f>
        <v>111740</v>
      </c>
      <c r="I138" s="484">
        <v>0</v>
      </c>
      <c r="J138" s="484">
        <v>0</v>
      </c>
      <c r="K138" s="498">
        <v>0</v>
      </c>
      <c r="L138" s="498">
        <v>0</v>
      </c>
      <c r="M138" s="496">
        <v>111740</v>
      </c>
      <c r="N138" s="112"/>
    </row>
    <row r="139" spans="1:14" s="8" customFormat="1" ht="15.75" customHeight="1">
      <c r="A139" s="141" t="s">
        <v>301</v>
      </c>
      <c r="B139" s="114"/>
      <c r="C139" s="114">
        <v>213</v>
      </c>
      <c r="D139" s="115" t="s">
        <v>521</v>
      </c>
      <c r="E139" s="114">
        <v>119</v>
      </c>
      <c r="F139" s="114">
        <v>213</v>
      </c>
      <c r="G139" s="101" t="s">
        <v>530</v>
      </c>
      <c r="H139" s="117">
        <f>SUM(I139:M139)</f>
        <v>1616957.65</v>
      </c>
      <c r="I139" s="124"/>
      <c r="J139" s="124"/>
      <c r="K139" s="112"/>
      <c r="L139" s="112"/>
      <c r="M139" s="112">
        <v>1616957.65</v>
      </c>
      <c r="N139" s="112"/>
    </row>
    <row r="140" spans="1:14" s="160" customFormat="1" ht="23.25" customHeight="1">
      <c r="A140" s="155" t="s">
        <v>399</v>
      </c>
      <c r="B140" s="156">
        <v>220</v>
      </c>
      <c r="C140" s="156"/>
      <c r="D140" s="156"/>
      <c r="E140" s="156"/>
      <c r="F140" s="156"/>
      <c r="G140" s="156"/>
      <c r="H140" s="161">
        <f>SUM(I140:M140)</f>
        <v>1835929.9</v>
      </c>
      <c r="I140" s="162">
        <f>SUM(I142:I150)</f>
        <v>110000</v>
      </c>
      <c r="J140" s="162">
        <f>SUM(J142:J151)</f>
        <v>1725929.9</v>
      </c>
      <c r="K140" s="162">
        <f>K142+K145+K151+K152+K153</f>
        <v>0</v>
      </c>
      <c r="L140" s="162">
        <f>L142+L145+L151+L152+L153</f>
        <v>0</v>
      </c>
      <c r="M140" s="162">
        <f>M142+M145+M151+M152+M153</f>
        <v>0</v>
      </c>
      <c r="N140" s="162">
        <f>N142+N145+N151+N152+N153</f>
        <v>0</v>
      </c>
    </row>
    <row r="141" spans="1:14" s="8" customFormat="1" ht="13.5" customHeight="1">
      <c r="A141" s="141" t="s">
        <v>3</v>
      </c>
      <c r="B141" s="114"/>
      <c r="C141" s="114"/>
      <c r="D141" s="114"/>
      <c r="E141" s="114"/>
      <c r="F141" s="114"/>
      <c r="G141" s="121"/>
      <c r="H141" s="117"/>
      <c r="I141" s="124"/>
      <c r="J141" s="124"/>
      <c r="K141" s="112"/>
      <c r="L141" s="112"/>
      <c r="M141" s="112"/>
      <c r="N141" s="112"/>
    </row>
    <row r="142" spans="1:14" s="8" customFormat="1" ht="39" customHeight="1">
      <c r="A142" s="142" t="s">
        <v>302</v>
      </c>
      <c r="B142" s="143"/>
      <c r="C142" s="144">
        <v>263</v>
      </c>
      <c r="D142" s="114">
        <v>901140000</v>
      </c>
      <c r="E142" s="114">
        <v>323</v>
      </c>
      <c r="F142" s="144">
        <v>263</v>
      </c>
      <c r="G142" s="116" t="s">
        <v>523</v>
      </c>
      <c r="H142" s="117">
        <f aca="true" t="shared" si="5" ref="H142:H153">I142+J142+K142+L142+M142+N142</f>
        <v>182055.91999999998</v>
      </c>
      <c r="I142" s="124"/>
      <c r="J142" s="124">
        <f>124511+57544.92</f>
        <v>182055.91999999998</v>
      </c>
      <c r="K142" s="112"/>
      <c r="L142" s="112"/>
      <c r="M142" s="112"/>
      <c r="N142" s="112"/>
    </row>
    <row r="143" spans="1:14" s="8" customFormat="1" ht="39" customHeight="1">
      <c r="A143" s="142" t="s">
        <v>302</v>
      </c>
      <c r="B143" s="143"/>
      <c r="C143" s="144">
        <v>263</v>
      </c>
      <c r="D143" s="114">
        <v>901150000</v>
      </c>
      <c r="E143" s="114">
        <v>323</v>
      </c>
      <c r="F143" s="144">
        <v>263</v>
      </c>
      <c r="G143" s="116" t="s">
        <v>523</v>
      </c>
      <c r="H143" s="117">
        <f t="shared" si="5"/>
        <v>517204.98</v>
      </c>
      <c r="I143" s="124"/>
      <c r="J143" s="124">
        <f>449289.98+67915</f>
        <v>517204.98</v>
      </c>
      <c r="K143" s="112"/>
      <c r="L143" s="112"/>
      <c r="M143" s="112"/>
      <c r="N143" s="112"/>
    </row>
    <row r="144" spans="1:14" s="8" customFormat="1" ht="39" customHeight="1">
      <c r="A144" s="142" t="s">
        <v>302</v>
      </c>
      <c r="B144" s="143"/>
      <c r="C144" s="144">
        <v>263</v>
      </c>
      <c r="D144" s="114">
        <v>901210000</v>
      </c>
      <c r="E144" s="146">
        <v>323</v>
      </c>
      <c r="F144" s="144">
        <v>263</v>
      </c>
      <c r="G144" s="116" t="s">
        <v>518</v>
      </c>
      <c r="H144" s="117">
        <f t="shared" si="5"/>
        <v>982310</v>
      </c>
      <c r="I144" s="124"/>
      <c r="J144" s="124">
        <f>876777+105533</f>
        <v>982310</v>
      </c>
      <c r="K144" s="112"/>
      <c r="L144" s="112"/>
      <c r="M144" s="112"/>
      <c r="N144" s="112"/>
    </row>
    <row r="145" spans="1:14" s="8" customFormat="1" ht="32.25" customHeight="1">
      <c r="A145" s="135" t="s">
        <v>39</v>
      </c>
      <c r="B145" s="114"/>
      <c r="C145" s="114">
        <v>262</v>
      </c>
      <c r="D145" s="114">
        <v>901140000</v>
      </c>
      <c r="E145" s="114">
        <v>321</v>
      </c>
      <c r="F145" s="114">
        <v>262</v>
      </c>
      <c r="G145" s="145" t="s">
        <v>523</v>
      </c>
      <c r="H145" s="117">
        <f t="shared" si="5"/>
        <v>44359</v>
      </c>
      <c r="I145" s="124"/>
      <c r="J145" s="124">
        <f>30497+13862</f>
        <v>44359</v>
      </c>
      <c r="K145" s="112"/>
      <c r="L145" s="112"/>
      <c r="M145" s="112"/>
      <c r="N145" s="112"/>
    </row>
    <row r="146" spans="1:14" s="8" customFormat="1" ht="32.25" customHeight="1" hidden="1">
      <c r="A146" s="142" t="s">
        <v>302</v>
      </c>
      <c r="B146" s="502"/>
      <c r="C146" s="503">
        <v>262</v>
      </c>
      <c r="D146" s="488">
        <v>901140000</v>
      </c>
      <c r="E146" s="504">
        <v>321</v>
      </c>
      <c r="F146" s="503">
        <v>262</v>
      </c>
      <c r="G146" s="499" t="s">
        <v>523</v>
      </c>
      <c r="H146" s="490">
        <f t="shared" si="5"/>
        <v>0</v>
      </c>
      <c r="I146" s="484">
        <v>0</v>
      </c>
      <c r="J146" s="485"/>
      <c r="K146" s="112"/>
      <c r="L146" s="112"/>
      <c r="M146" s="112"/>
      <c r="N146" s="112"/>
    </row>
    <row r="147" spans="1:14" s="8" customFormat="1" ht="32.25" customHeight="1" hidden="1">
      <c r="A147" s="113" t="s">
        <v>834</v>
      </c>
      <c r="B147" s="486"/>
      <c r="C147" s="488">
        <v>263</v>
      </c>
      <c r="D147" s="488">
        <v>901140000</v>
      </c>
      <c r="E147" s="488">
        <v>323</v>
      </c>
      <c r="F147" s="488">
        <v>263</v>
      </c>
      <c r="G147" s="499" t="s">
        <v>523</v>
      </c>
      <c r="H147" s="490">
        <f t="shared" si="5"/>
        <v>0</v>
      </c>
      <c r="I147" s="484">
        <v>0</v>
      </c>
      <c r="J147" s="485"/>
      <c r="K147" s="112"/>
      <c r="L147" s="112"/>
      <c r="M147" s="112"/>
      <c r="N147" s="112"/>
    </row>
    <row r="148" spans="1:14" s="8" customFormat="1" ht="32.25" customHeight="1" hidden="1">
      <c r="A148" s="113" t="s">
        <v>836</v>
      </c>
      <c r="B148" s="486"/>
      <c r="C148" s="488">
        <v>263</v>
      </c>
      <c r="D148" s="488">
        <v>901150000</v>
      </c>
      <c r="E148" s="488">
        <v>323</v>
      </c>
      <c r="F148" s="488">
        <v>263</v>
      </c>
      <c r="G148" s="499" t="s">
        <v>523</v>
      </c>
      <c r="H148" s="490">
        <f t="shared" si="5"/>
        <v>0</v>
      </c>
      <c r="I148" s="484">
        <v>0</v>
      </c>
      <c r="J148" s="485"/>
      <c r="K148" s="112"/>
      <c r="L148" s="112"/>
      <c r="M148" s="112"/>
      <c r="N148" s="112"/>
    </row>
    <row r="149" spans="1:14" s="8" customFormat="1" ht="32.25" customHeight="1" hidden="1">
      <c r="A149" s="113" t="s">
        <v>241</v>
      </c>
      <c r="B149" s="486"/>
      <c r="C149" s="488">
        <v>263</v>
      </c>
      <c r="D149" s="501">
        <v>901210000</v>
      </c>
      <c r="E149" s="488">
        <v>323</v>
      </c>
      <c r="F149" s="488">
        <v>263</v>
      </c>
      <c r="G149" s="491" t="s">
        <v>518</v>
      </c>
      <c r="H149" s="490">
        <f t="shared" si="5"/>
        <v>0</v>
      </c>
      <c r="I149" s="484">
        <v>0</v>
      </c>
      <c r="J149" s="485"/>
      <c r="K149" s="112"/>
      <c r="L149" s="112"/>
      <c r="M149" s="112"/>
      <c r="N149" s="112"/>
    </row>
    <row r="150" spans="1:14" s="8" customFormat="1" ht="38.25" customHeight="1">
      <c r="A150" s="403" t="s">
        <v>760</v>
      </c>
      <c r="B150" s="114"/>
      <c r="C150" s="114">
        <v>264</v>
      </c>
      <c r="D150" s="114">
        <v>800000000</v>
      </c>
      <c r="E150" s="114">
        <v>321</v>
      </c>
      <c r="F150" s="114">
        <v>264</v>
      </c>
      <c r="G150" s="145" t="s">
        <v>523</v>
      </c>
      <c r="H150" s="117">
        <f t="shared" si="5"/>
        <v>110000</v>
      </c>
      <c r="I150" s="124">
        <v>110000</v>
      </c>
      <c r="J150" s="124"/>
      <c r="K150" s="112"/>
      <c r="L150" s="112"/>
      <c r="M150" s="112"/>
      <c r="N150" s="112"/>
    </row>
    <row r="151" spans="1:14" s="8" customFormat="1" ht="15.75" customHeight="1">
      <c r="A151" s="135" t="s">
        <v>303</v>
      </c>
      <c r="B151" s="114"/>
      <c r="C151" s="114"/>
      <c r="D151" s="114"/>
      <c r="E151" s="114"/>
      <c r="F151" s="114"/>
      <c r="G151" s="121"/>
      <c r="H151" s="117">
        <f t="shared" si="5"/>
        <v>0</v>
      </c>
      <c r="I151" s="124"/>
      <c r="J151" s="124"/>
      <c r="K151" s="112"/>
      <c r="L151" s="112"/>
      <c r="M151" s="112"/>
      <c r="N151" s="112"/>
    </row>
    <row r="152" spans="1:14" s="8" customFormat="1" ht="15.75" customHeight="1">
      <c r="A152" s="135" t="s">
        <v>304</v>
      </c>
      <c r="B152" s="114"/>
      <c r="C152" s="114">
        <v>290</v>
      </c>
      <c r="D152" s="114"/>
      <c r="E152" s="114">
        <v>350</v>
      </c>
      <c r="F152" s="114">
        <v>290</v>
      </c>
      <c r="G152" s="121"/>
      <c r="H152" s="117">
        <f t="shared" si="5"/>
        <v>0</v>
      </c>
      <c r="I152" s="124"/>
      <c r="J152" s="124"/>
      <c r="K152" s="112"/>
      <c r="L152" s="112"/>
      <c r="M152" s="112"/>
      <c r="N152" s="112"/>
    </row>
    <row r="153" spans="1:14" s="8" customFormat="1" ht="15.75" customHeight="1">
      <c r="A153" s="135" t="s">
        <v>305</v>
      </c>
      <c r="B153" s="114"/>
      <c r="C153" s="114"/>
      <c r="D153" s="114"/>
      <c r="E153" s="114"/>
      <c r="F153" s="114"/>
      <c r="G153" s="121"/>
      <c r="H153" s="117">
        <f t="shared" si="5"/>
        <v>0</v>
      </c>
      <c r="I153" s="124"/>
      <c r="J153" s="124"/>
      <c r="K153" s="112"/>
      <c r="L153" s="112"/>
      <c r="M153" s="112"/>
      <c r="N153" s="112"/>
    </row>
    <row r="154" spans="1:14" s="160" customFormat="1" ht="21.75" customHeight="1">
      <c r="A154" s="163" t="s">
        <v>306</v>
      </c>
      <c r="B154" s="156">
        <v>230</v>
      </c>
      <c r="C154" s="156"/>
      <c r="D154" s="156"/>
      <c r="E154" s="156"/>
      <c r="F154" s="156"/>
      <c r="G154" s="157"/>
      <c r="H154" s="158">
        <f>H155</f>
        <v>4507383</v>
      </c>
      <c r="I154" s="158">
        <f>I155</f>
        <v>4045637</v>
      </c>
      <c r="J154" s="158">
        <f>J155</f>
        <v>0</v>
      </c>
      <c r="K154" s="159">
        <f>K155+K158</f>
        <v>0</v>
      </c>
      <c r="L154" s="159">
        <f>L155+L158</f>
        <v>0</v>
      </c>
      <c r="M154" s="158">
        <f>M155</f>
        <v>461746</v>
      </c>
      <c r="N154" s="158">
        <f>N155</f>
        <v>0</v>
      </c>
    </row>
    <row r="155" spans="1:14" s="8" customFormat="1" ht="15.75" customHeight="1">
      <c r="A155" s="141" t="s">
        <v>3</v>
      </c>
      <c r="B155" s="114"/>
      <c r="C155" s="114"/>
      <c r="D155" s="114"/>
      <c r="E155" s="114"/>
      <c r="F155" s="114"/>
      <c r="G155" s="121"/>
      <c r="H155" s="117">
        <f>H156+H157</f>
        <v>4507383</v>
      </c>
      <c r="I155" s="124">
        <f aca="true" t="shared" si="6" ref="I155:N155">I156+I157</f>
        <v>4045637</v>
      </c>
      <c r="J155" s="124">
        <f t="shared" si="6"/>
        <v>0</v>
      </c>
      <c r="K155" s="124">
        <f t="shared" si="6"/>
        <v>0</v>
      </c>
      <c r="L155" s="124">
        <f t="shared" si="6"/>
        <v>0</v>
      </c>
      <c r="M155" s="124">
        <f>M156+M157</f>
        <v>461746</v>
      </c>
      <c r="N155" s="124">
        <f t="shared" si="6"/>
        <v>0</v>
      </c>
    </row>
    <row r="156" spans="1:14" s="8" customFormat="1" ht="15.75" customHeight="1">
      <c r="A156" s="141" t="s">
        <v>307</v>
      </c>
      <c r="B156" s="114"/>
      <c r="C156" s="114">
        <v>290</v>
      </c>
      <c r="D156" s="114"/>
      <c r="E156" s="114">
        <v>831</v>
      </c>
      <c r="F156" s="114">
        <v>290</v>
      </c>
      <c r="G156" s="121"/>
      <c r="H156" s="117">
        <f>I156+J156+K156+L156+M156+N156</f>
        <v>0</v>
      </c>
      <c r="I156" s="124"/>
      <c r="J156" s="124"/>
      <c r="K156" s="112"/>
      <c r="L156" s="112"/>
      <c r="M156" s="112"/>
      <c r="N156" s="112"/>
    </row>
    <row r="157" spans="1:14" s="8" customFormat="1" ht="15.75" customHeight="1">
      <c r="A157" s="141" t="s">
        <v>308</v>
      </c>
      <c r="B157" s="114"/>
      <c r="C157" s="114">
        <v>290</v>
      </c>
      <c r="D157" s="114"/>
      <c r="E157" s="114">
        <v>850</v>
      </c>
      <c r="F157" s="114">
        <v>290</v>
      </c>
      <c r="G157" s="121"/>
      <c r="H157" s="117">
        <f>SUM(H159:H169)</f>
        <v>4507383</v>
      </c>
      <c r="I157" s="117">
        <f>SUM(I159:I169)</f>
        <v>4045637</v>
      </c>
      <c r="J157" s="124"/>
      <c r="K157" s="112"/>
      <c r="L157" s="112"/>
      <c r="M157" s="117">
        <f>SUM(M159:M169)</f>
        <v>461746</v>
      </c>
      <c r="N157" s="112"/>
    </row>
    <row r="158" spans="1:14" s="8" customFormat="1" ht="15.75" customHeight="1">
      <c r="A158" s="141" t="s">
        <v>4</v>
      </c>
      <c r="B158" s="114"/>
      <c r="C158" s="114"/>
      <c r="D158" s="114"/>
      <c r="E158" s="114"/>
      <c r="F158" s="114"/>
      <c r="G158" s="121"/>
      <c r="H158" s="117"/>
      <c r="I158" s="124"/>
      <c r="J158" s="124"/>
      <c r="K158" s="124">
        <f>K159+K163+K164+K165+K166+K167+K168+K169</f>
        <v>0</v>
      </c>
      <c r="L158" s="124">
        <f>L159+L163+L164+L165+L166+L167+L168+L169</f>
        <v>0</v>
      </c>
      <c r="M158" s="124"/>
      <c r="N158" s="124"/>
    </row>
    <row r="159" spans="1:14" s="8" customFormat="1" ht="26.25" customHeight="1">
      <c r="A159" s="141" t="s">
        <v>309</v>
      </c>
      <c r="B159" s="114"/>
      <c r="C159" s="114">
        <v>291</v>
      </c>
      <c r="D159" s="115" t="s">
        <v>522</v>
      </c>
      <c r="E159" s="114">
        <v>851</v>
      </c>
      <c r="F159" s="114">
        <v>291</v>
      </c>
      <c r="G159" s="116" t="s">
        <v>516</v>
      </c>
      <c r="H159" s="117">
        <f>I159+J159+K159+L159+M159+N159</f>
        <v>4041887</v>
      </c>
      <c r="I159" s="124">
        <f>'ФЭО МЗ'!H153+1082174</f>
        <v>4041887</v>
      </c>
      <c r="J159" s="124"/>
      <c r="K159" s="112"/>
      <c r="L159" s="112"/>
      <c r="M159" s="112">
        <v>0</v>
      </c>
      <c r="N159" s="112"/>
    </row>
    <row r="160" spans="1:14" s="8" customFormat="1" ht="26.25" customHeight="1" hidden="1">
      <c r="A160" s="141" t="s">
        <v>309</v>
      </c>
      <c r="B160" s="486"/>
      <c r="C160" s="488">
        <v>291</v>
      </c>
      <c r="D160" s="487" t="s">
        <v>522</v>
      </c>
      <c r="E160" s="488">
        <v>851</v>
      </c>
      <c r="F160" s="488">
        <v>291</v>
      </c>
      <c r="G160" s="491" t="s">
        <v>516</v>
      </c>
      <c r="H160" s="490">
        <f>SUM(I160:N160)</f>
        <v>0</v>
      </c>
      <c r="I160" s="485"/>
      <c r="J160" s="124"/>
      <c r="K160" s="112"/>
      <c r="L160" s="112"/>
      <c r="M160" s="112"/>
      <c r="N160" s="112"/>
    </row>
    <row r="161" spans="1:14" s="8" customFormat="1" ht="26.25" customHeight="1">
      <c r="A161" s="141" t="s">
        <v>309</v>
      </c>
      <c r="B161" s="114"/>
      <c r="C161" s="114">
        <v>291</v>
      </c>
      <c r="D161" s="115" t="s">
        <v>521</v>
      </c>
      <c r="E161" s="114">
        <v>851</v>
      </c>
      <c r="F161" s="114">
        <v>291</v>
      </c>
      <c r="G161" s="116" t="s">
        <v>530</v>
      </c>
      <c r="H161" s="117">
        <f>I161+J161+K161+L161+M161+N161</f>
        <v>354718</v>
      </c>
      <c r="I161" s="124">
        <v>0</v>
      </c>
      <c r="J161" s="124"/>
      <c r="K161" s="112"/>
      <c r="L161" s="112"/>
      <c r="M161" s="112">
        <v>354718</v>
      </c>
      <c r="N161" s="112"/>
    </row>
    <row r="162" spans="1:14" s="8" customFormat="1" ht="26.25" customHeight="1">
      <c r="A162" s="141" t="s">
        <v>309</v>
      </c>
      <c r="B162" s="486"/>
      <c r="C162" s="488">
        <v>291</v>
      </c>
      <c r="D162" s="487" t="s">
        <v>521</v>
      </c>
      <c r="E162" s="488">
        <v>851</v>
      </c>
      <c r="F162" s="488">
        <v>291</v>
      </c>
      <c r="G162" s="491" t="s">
        <v>530</v>
      </c>
      <c r="H162" s="490">
        <f>I162+J162+K162+L162+M162+N162</f>
        <v>45028</v>
      </c>
      <c r="I162" s="484">
        <v>0</v>
      </c>
      <c r="J162" s="484">
        <v>0</v>
      </c>
      <c r="K162" s="498">
        <v>0</v>
      </c>
      <c r="L162" s="498">
        <v>0</v>
      </c>
      <c r="M162" s="496">
        <v>45028</v>
      </c>
      <c r="N162" s="112"/>
    </row>
    <row r="163" spans="1:15" s="8" customFormat="1" ht="15" customHeight="1">
      <c r="A163" s="141" t="s">
        <v>357</v>
      </c>
      <c r="B163" s="114"/>
      <c r="C163" s="114">
        <v>291</v>
      </c>
      <c r="D163" s="115" t="s">
        <v>522</v>
      </c>
      <c r="E163" s="114">
        <v>852</v>
      </c>
      <c r="F163" s="114">
        <v>291</v>
      </c>
      <c r="G163" s="116" t="s">
        <v>516</v>
      </c>
      <c r="H163" s="117">
        <f aca="true" t="shared" si="7" ref="H163:H170">I163+J163+K163+L163+M163+N163</f>
        <v>3750</v>
      </c>
      <c r="I163" s="124">
        <v>3750</v>
      </c>
      <c r="J163" s="124"/>
      <c r="K163" s="112"/>
      <c r="L163" s="112"/>
      <c r="M163" s="112"/>
      <c r="N163" s="112"/>
      <c r="O163" s="8" t="s">
        <v>378</v>
      </c>
    </row>
    <row r="164" spans="1:15" s="8" customFormat="1" ht="15" customHeight="1">
      <c r="A164" s="141" t="s">
        <v>310</v>
      </c>
      <c r="B164" s="114"/>
      <c r="C164" s="114">
        <v>291</v>
      </c>
      <c r="D164" s="114"/>
      <c r="E164" s="114">
        <v>853</v>
      </c>
      <c r="F164" s="114">
        <v>291</v>
      </c>
      <c r="G164" s="121"/>
      <c r="H164" s="117">
        <f t="shared" si="7"/>
        <v>0</v>
      </c>
      <c r="I164" s="124"/>
      <c r="J164" s="124"/>
      <c r="K164" s="112"/>
      <c r="L164" s="112"/>
      <c r="M164" s="112"/>
      <c r="N164" s="112"/>
      <c r="O164" s="8" t="s">
        <v>379</v>
      </c>
    </row>
    <row r="165" spans="1:14" s="8" customFormat="1" ht="39.75" customHeight="1">
      <c r="A165" s="141" t="s">
        <v>358</v>
      </c>
      <c r="B165" s="391"/>
      <c r="C165" s="391">
        <v>292</v>
      </c>
      <c r="D165" s="392" t="s">
        <v>521</v>
      </c>
      <c r="E165" s="391">
        <v>853</v>
      </c>
      <c r="F165" s="391">
        <v>292</v>
      </c>
      <c r="G165" s="101" t="s">
        <v>530</v>
      </c>
      <c r="H165" s="117">
        <f t="shared" si="7"/>
        <v>3000</v>
      </c>
      <c r="I165" s="124"/>
      <c r="J165" s="124"/>
      <c r="K165" s="112"/>
      <c r="L165" s="112"/>
      <c r="M165" s="112">
        <v>3000</v>
      </c>
      <c r="N165" s="112"/>
    </row>
    <row r="166" spans="1:14" s="8" customFormat="1" ht="31.5" customHeight="1">
      <c r="A166" s="141" t="s">
        <v>359</v>
      </c>
      <c r="B166" s="114"/>
      <c r="C166" s="114">
        <v>293</v>
      </c>
      <c r="D166" s="114"/>
      <c r="E166" s="114">
        <v>853</v>
      </c>
      <c r="F166" s="114">
        <v>293</v>
      </c>
      <c r="G166" s="121"/>
      <c r="H166" s="117">
        <f t="shared" si="7"/>
        <v>0</v>
      </c>
      <c r="I166" s="124"/>
      <c r="J166" s="124"/>
      <c r="K166" s="112"/>
      <c r="L166" s="112"/>
      <c r="M166" s="112"/>
      <c r="N166" s="112"/>
    </row>
    <row r="167" spans="1:14" s="8" customFormat="1" ht="26.25" customHeight="1">
      <c r="A167" s="141" t="s">
        <v>360</v>
      </c>
      <c r="B167" s="114"/>
      <c r="C167" s="114">
        <v>294</v>
      </c>
      <c r="D167" s="114"/>
      <c r="E167" s="114">
        <v>853</v>
      </c>
      <c r="F167" s="114">
        <v>294</v>
      </c>
      <c r="G167" s="121"/>
      <c r="H167" s="117">
        <f t="shared" si="7"/>
        <v>0</v>
      </c>
      <c r="I167" s="124"/>
      <c r="J167" s="124"/>
      <c r="K167" s="112"/>
      <c r="L167" s="112"/>
      <c r="M167" s="112"/>
      <c r="N167" s="112"/>
    </row>
    <row r="168" spans="1:14" s="8" customFormat="1" ht="20.25" customHeight="1">
      <c r="A168" s="141" t="s">
        <v>361</v>
      </c>
      <c r="B168" s="486"/>
      <c r="C168" s="486">
        <v>295</v>
      </c>
      <c r="D168" s="487" t="s">
        <v>521</v>
      </c>
      <c r="E168" s="486">
        <v>853</v>
      </c>
      <c r="F168" s="486">
        <v>295</v>
      </c>
      <c r="G168" s="491" t="s">
        <v>530</v>
      </c>
      <c r="H168" s="490">
        <f t="shared" si="7"/>
        <v>30000</v>
      </c>
      <c r="I168" s="484">
        <v>0</v>
      </c>
      <c r="J168" s="484">
        <v>0</v>
      </c>
      <c r="K168" s="498">
        <v>0</v>
      </c>
      <c r="L168" s="498">
        <v>0</v>
      </c>
      <c r="M168" s="496">
        <v>30000</v>
      </c>
      <c r="N168" s="112"/>
    </row>
    <row r="169" spans="1:14" s="8" customFormat="1" ht="16.5" customHeight="1">
      <c r="A169" s="141" t="s">
        <v>362</v>
      </c>
      <c r="B169" s="114"/>
      <c r="C169" s="114">
        <v>297</v>
      </c>
      <c r="D169" s="392" t="s">
        <v>521</v>
      </c>
      <c r="E169" s="114">
        <v>853</v>
      </c>
      <c r="F169" s="114">
        <v>297</v>
      </c>
      <c r="G169" s="101" t="s">
        <v>530</v>
      </c>
      <c r="H169" s="117">
        <f t="shared" si="7"/>
        <v>29000</v>
      </c>
      <c r="I169" s="124"/>
      <c r="J169" s="124"/>
      <c r="K169" s="112"/>
      <c r="L169" s="112"/>
      <c r="M169" s="112">
        <f>28000+1000</f>
        <v>29000</v>
      </c>
      <c r="N169" s="112"/>
    </row>
    <row r="170" spans="1:14" s="8" customFormat="1" ht="15.75" customHeight="1">
      <c r="A170" s="141" t="s">
        <v>311</v>
      </c>
      <c r="B170" s="114">
        <v>240</v>
      </c>
      <c r="C170" s="114"/>
      <c r="D170" s="114"/>
      <c r="E170" s="114"/>
      <c r="F170" s="114"/>
      <c r="G170" s="121"/>
      <c r="H170" s="117">
        <f t="shared" si="7"/>
        <v>0</v>
      </c>
      <c r="I170" s="124"/>
      <c r="J170" s="124"/>
      <c r="K170" s="112"/>
      <c r="L170" s="112"/>
      <c r="M170" s="112"/>
      <c r="N170" s="112"/>
    </row>
    <row r="171" spans="1:14" s="8" customFormat="1" ht="28.5" customHeight="1">
      <c r="A171" s="135" t="s">
        <v>312</v>
      </c>
      <c r="B171" s="114">
        <v>250</v>
      </c>
      <c r="C171" s="114"/>
      <c r="D171" s="114"/>
      <c r="E171" s="114"/>
      <c r="F171" s="114"/>
      <c r="G171" s="121"/>
      <c r="H171" s="117">
        <f>H173+H174</f>
        <v>0</v>
      </c>
      <c r="I171" s="124">
        <f aca="true" t="shared" si="8" ref="I171:N171">I173+I174</f>
        <v>0</v>
      </c>
      <c r="J171" s="124">
        <f t="shared" si="8"/>
        <v>0</v>
      </c>
      <c r="K171" s="124">
        <f t="shared" si="8"/>
        <v>0</v>
      </c>
      <c r="L171" s="124">
        <f t="shared" si="8"/>
        <v>0</v>
      </c>
      <c r="M171" s="124">
        <f t="shared" si="8"/>
        <v>0</v>
      </c>
      <c r="N171" s="124">
        <f t="shared" si="8"/>
        <v>0</v>
      </c>
    </row>
    <row r="172" spans="1:14" s="8" customFormat="1" ht="11.25" customHeight="1">
      <c r="A172" s="141" t="s">
        <v>4</v>
      </c>
      <c r="B172" s="114"/>
      <c r="C172" s="114"/>
      <c r="D172" s="114"/>
      <c r="E172" s="114"/>
      <c r="F172" s="114"/>
      <c r="G172" s="121"/>
      <c r="H172" s="117"/>
      <c r="I172" s="124"/>
      <c r="J172" s="124"/>
      <c r="K172" s="112"/>
      <c r="L172" s="112"/>
      <c r="M172" s="112"/>
      <c r="N172" s="112"/>
    </row>
    <row r="173" spans="1:14" s="8" customFormat="1" ht="23.25" customHeight="1">
      <c r="A173" s="135" t="s">
        <v>313</v>
      </c>
      <c r="B173" s="114"/>
      <c r="C173" s="114"/>
      <c r="D173" s="114"/>
      <c r="E173" s="114"/>
      <c r="F173" s="114"/>
      <c r="G173" s="121"/>
      <c r="H173" s="117">
        <f>I173+J173+K173+L173+M173+N173</f>
        <v>0</v>
      </c>
      <c r="I173" s="124"/>
      <c r="J173" s="124"/>
      <c r="K173" s="112"/>
      <c r="L173" s="112"/>
      <c r="M173" s="112"/>
      <c r="N173" s="112"/>
    </row>
    <row r="174" spans="1:14" s="8" customFormat="1" ht="34.5" customHeight="1">
      <c r="A174" s="141" t="s">
        <v>314</v>
      </c>
      <c r="B174" s="114"/>
      <c r="C174" s="114"/>
      <c r="D174" s="114"/>
      <c r="E174" s="114"/>
      <c r="F174" s="114"/>
      <c r="G174" s="121"/>
      <c r="H174" s="117">
        <f>I174+J174+K174+L174+M174+N174</f>
        <v>0</v>
      </c>
      <c r="I174" s="124"/>
      <c r="J174" s="124"/>
      <c r="K174" s="124"/>
      <c r="L174" s="124"/>
      <c r="M174" s="124"/>
      <c r="N174" s="112"/>
    </row>
    <row r="175" spans="1:14" s="160" customFormat="1" ht="21" customHeight="1">
      <c r="A175" s="155" t="s">
        <v>315</v>
      </c>
      <c r="B175" s="156">
        <v>260</v>
      </c>
      <c r="C175" s="156"/>
      <c r="D175" s="156"/>
      <c r="E175" s="156"/>
      <c r="F175" s="156"/>
      <c r="G175" s="157"/>
      <c r="H175" s="158">
        <f>I175+J175+M175</f>
        <v>20953322.95</v>
      </c>
      <c r="I175" s="159">
        <f>SUM(I177:I184)+SUM(I202:I218)+I219+I239</f>
        <v>9877211.44</v>
      </c>
      <c r="J175" s="159">
        <f>J177+J183+J184+J202+J203+J212+J218+J219+J238+J239+J256</f>
        <v>289594.57</v>
      </c>
      <c r="K175" s="159">
        <f>K177+K183+K184+K202+K203+K212+K218+K219+K238+K239+K256</f>
        <v>0</v>
      </c>
      <c r="L175" s="159">
        <f>L177+L183+L184+L202+L203+L212+L218+L219+L238+L239+L256</f>
        <v>0</v>
      </c>
      <c r="M175" s="159">
        <f>SUM(M177:M184)+SUM(M202:M218)+M219+M239</f>
        <v>10786516.94</v>
      </c>
      <c r="N175" s="159">
        <f>N177+N183+N184+N202+N203+N212+N218+N219+N238+N239+N256</f>
        <v>0</v>
      </c>
    </row>
    <row r="176" spans="1:14" s="40" customFormat="1" ht="15.75" customHeight="1">
      <c r="A176" s="141" t="s">
        <v>4</v>
      </c>
      <c r="B176" s="147"/>
      <c r="C176" s="114"/>
      <c r="D176" s="147"/>
      <c r="E176" s="147"/>
      <c r="F176" s="114"/>
      <c r="G176" s="121"/>
      <c r="H176" s="117"/>
      <c r="I176" s="117"/>
      <c r="J176" s="117"/>
      <c r="K176" s="117"/>
      <c r="L176" s="117"/>
      <c r="M176" s="117"/>
      <c r="N176" s="117"/>
    </row>
    <row r="177" spans="1:14" s="8" customFormat="1" ht="16.5" customHeight="1">
      <c r="A177" s="141" t="s">
        <v>316</v>
      </c>
      <c r="B177" s="114"/>
      <c r="C177" s="114">
        <v>221</v>
      </c>
      <c r="D177" s="115" t="s">
        <v>522</v>
      </c>
      <c r="E177" s="114">
        <v>244</v>
      </c>
      <c r="F177" s="114">
        <v>221</v>
      </c>
      <c r="G177" s="101" t="s">
        <v>531</v>
      </c>
      <c r="H177" s="117">
        <f>I177+J177+M177</f>
        <v>74644.09</v>
      </c>
      <c r="I177" s="124">
        <f>72000+2644.09</f>
        <v>74644.09</v>
      </c>
      <c r="J177" s="124"/>
      <c r="K177" s="112"/>
      <c r="L177" s="112"/>
      <c r="M177" s="112"/>
      <c r="N177" s="112"/>
    </row>
    <row r="178" spans="1:14" s="8" customFormat="1" ht="16.5" customHeight="1">
      <c r="A178" s="141" t="s">
        <v>316</v>
      </c>
      <c r="B178" s="114"/>
      <c r="C178" s="114">
        <v>221</v>
      </c>
      <c r="D178" s="115" t="s">
        <v>522</v>
      </c>
      <c r="E178" s="114">
        <v>244</v>
      </c>
      <c r="F178" s="114">
        <v>221</v>
      </c>
      <c r="G178" s="101" t="s">
        <v>532</v>
      </c>
      <c r="H178" s="117">
        <f>I178+J178+M178</f>
        <v>87800.1</v>
      </c>
      <c r="I178" s="124">
        <f>32000.1+55800</f>
        <v>87800.1</v>
      </c>
      <c r="J178" s="124"/>
      <c r="K178" s="112"/>
      <c r="L178" s="112"/>
      <c r="M178" s="112"/>
      <c r="N178" s="112"/>
    </row>
    <row r="179" spans="1:14" s="8" customFormat="1" ht="16.5" customHeight="1" hidden="1">
      <c r="A179" s="141" t="s">
        <v>316</v>
      </c>
      <c r="B179" s="486"/>
      <c r="C179" s="488">
        <v>221</v>
      </c>
      <c r="D179" s="487" t="s">
        <v>522</v>
      </c>
      <c r="E179" s="488">
        <v>244</v>
      </c>
      <c r="F179" s="488">
        <v>221</v>
      </c>
      <c r="G179" s="489" t="s">
        <v>531</v>
      </c>
      <c r="H179" s="490">
        <f>I179+J179+K179+L179+M179+N179</f>
        <v>0</v>
      </c>
      <c r="I179" s="485"/>
      <c r="J179" s="124"/>
      <c r="K179" s="112"/>
      <c r="L179" s="112"/>
      <c r="M179" s="112"/>
      <c r="N179" s="112"/>
    </row>
    <row r="180" spans="1:14" s="8" customFormat="1" ht="16.5" customHeight="1">
      <c r="A180" s="141" t="s">
        <v>827</v>
      </c>
      <c r="B180" s="486"/>
      <c r="C180" s="488">
        <v>221</v>
      </c>
      <c r="D180" s="487" t="s">
        <v>522</v>
      </c>
      <c r="E180" s="488">
        <v>244</v>
      </c>
      <c r="F180" s="488">
        <v>221</v>
      </c>
      <c r="G180" s="492" t="s">
        <v>828</v>
      </c>
      <c r="H180" s="490">
        <f>I180+J180+K180+L180+M180+N180</f>
        <v>45806.4</v>
      </c>
      <c r="I180" s="485">
        <v>45806.4</v>
      </c>
      <c r="J180" s="124"/>
      <c r="K180" s="112"/>
      <c r="L180" s="112"/>
      <c r="M180" s="112"/>
      <c r="N180" s="112"/>
    </row>
    <row r="181" spans="1:14" s="8" customFormat="1" ht="16.5" customHeight="1" hidden="1">
      <c r="A181" s="141" t="s">
        <v>316</v>
      </c>
      <c r="B181" s="486"/>
      <c r="C181" s="488">
        <v>221</v>
      </c>
      <c r="D181" s="488">
        <v>800000000</v>
      </c>
      <c r="E181" s="488">
        <v>244</v>
      </c>
      <c r="F181" s="488">
        <v>221</v>
      </c>
      <c r="G181" s="492" t="s">
        <v>532</v>
      </c>
      <c r="H181" s="490">
        <f>I181+J181+K181+L181+M181+N181</f>
        <v>0</v>
      </c>
      <c r="I181" s="485"/>
      <c r="J181" s="124"/>
      <c r="K181" s="112"/>
      <c r="L181" s="112"/>
      <c r="M181" s="112"/>
      <c r="N181" s="112"/>
    </row>
    <row r="182" spans="1:14" s="8" customFormat="1" ht="16.5" customHeight="1">
      <c r="A182" s="141" t="s">
        <v>316</v>
      </c>
      <c r="B182" s="114"/>
      <c r="C182" s="114">
        <v>221</v>
      </c>
      <c r="D182" s="115" t="s">
        <v>521</v>
      </c>
      <c r="E182" s="114">
        <v>244</v>
      </c>
      <c r="F182" s="114">
        <v>221</v>
      </c>
      <c r="G182" s="101" t="s">
        <v>533</v>
      </c>
      <c r="H182" s="117">
        <f>I182+J182+M182</f>
        <v>3500</v>
      </c>
      <c r="I182" s="124">
        <v>0</v>
      </c>
      <c r="J182" s="124"/>
      <c r="K182" s="112"/>
      <c r="L182" s="112"/>
      <c r="M182" s="112">
        <v>3500</v>
      </c>
      <c r="N182" s="112"/>
    </row>
    <row r="183" spans="1:14" s="8" customFormat="1" ht="15.75" customHeight="1">
      <c r="A183" s="141" t="s">
        <v>317</v>
      </c>
      <c r="B183" s="114"/>
      <c r="C183" s="114">
        <v>222</v>
      </c>
      <c r="D183" s="115" t="s">
        <v>521</v>
      </c>
      <c r="E183" s="114">
        <v>244</v>
      </c>
      <c r="F183" s="114">
        <v>222</v>
      </c>
      <c r="G183" s="101" t="s">
        <v>533</v>
      </c>
      <c r="H183" s="117">
        <f>I183+J183+K183+L183+M183+N183</f>
        <v>11000</v>
      </c>
      <c r="I183" s="124"/>
      <c r="J183" s="124"/>
      <c r="K183" s="112"/>
      <c r="L183" s="112"/>
      <c r="M183" s="112">
        <v>11000</v>
      </c>
      <c r="N183" s="112"/>
    </row>
    <row r="184" spans="1:14" s="160" customFormat="1" ht="14.25" customHeight="1">
      <c r="A184" s="155" t="s">
        <v>318</v>
      </c>
      <c r="B184" s="156"/>
      <c r="C184" s="156">
        <v>223</v>
      </c>
      <c r="D184" s="156"/>
      <c r="E184" s="156">
        <v>244</v>
      </c>
      <c r="F184" s="156">
        <v>223</v>
      </c>
      <c r="G184" s="157"/>
      <c r="H184" s="158">
        <f>I184+J184+M184</f>
        <v>3498434.15</v>
      </c>
      <c r="I184" s="159">
        <f>I186+I187+I188+I189+I190+I191+I192+I193+I194+I195</f>
        <v>3093486.76</v>
      </c>
      <c r="J184" s="159">
        <f>J186+J187+J188+J189</f>
        <v>0</v>
      </c>
      <c r="K184" s="159">
        <f>K186+K187+K188+K189</f>
        <v>0</v>
      </c>
      <c r="L184" s="159">
        <f>L186+L187+L188+L189</f>
        <v>0</v>
      </c>
      <c r="M184" s="159">
        <f>SUM(M186:M201)</f>
        <v>404947.39</v>
      </c>
      <c r="N184" s="159">
        <f>N186+N187+N188+N189</f>
        <v>0</v>
      </c>
    </row>
    <row r="185" spans="1:14" s="8" customFormat="1" ht="12.75">
      <c r="A185" s="141" t="s">
        <v>4</v>
      </c>
      <c r="B185" s="114"/>
      <c r="C185" s="114"/>
      <c r="D185" s="114"/>
      <c r="E185" s="114"/>
      <c r="F185" s="114"/>
      <c r="G185" s="121"/>
      <c r="H185" s="117"/>
      <c r="I185" s="124"/>
      <c r="J185" s="124"/>
      <c r="K185" s="112"/>
      <c r="L185" s="112"/>
      <c r="M185" s="112"/>
      <c r="N185" s="112"/>
    </row>
    <row r="186" spans="1:14" s="8" customFormat="1" ht="15" customHeight="1">
      <c r="A186" s="141" t="s">
        <v>319</v>
      </c>
      <c r="B186" s="114"/>
      <c r="C186" s="114">
        <v>223</v>
      </c>
      <c r="D186" s="115" t="s">
        <v>522</v>
      </c>
      <c r="E186" s="114">
        <v>244</v>
      </c>
      <c r="F186" s="114">
        <v>223</v>
      </c>
      <c r="G186" s="101" t="s">
        <v>532</v>
      </c>
      <c r="H186" s="117">
        <f aca="true" t="shared" si="9" ref="H186:H203">I186+J186+K186+L186+M186+N186</f>
        <v>1555866.16</v>
      </c>
      <c r="I186" s="124">
        <f>1231409.94+324456.22</f>
        <v>1555866.16</v>
      </c>
      <c r="J186" s="124"/>
      <c r="K186" s="112"/>
      <c r="L186" s="112"/>
      <c r="M186" s="112">
        <v>0</v>
      </c>
      <c r="N186" s="112"/>
    </row>
    <row r="187" spans="1:14" s="8" customFormat="1" ht="15" customHeight="1">
      <c r="A187" s="141" t="s">
        <v>320</v>
      </c>
      <c r="B187" s="114"/>
      <c r="C187" s="114">
        <v>223</v>
      </c>
      <c r="D187" s="115" t="s">
        <v>522</v>
      </c>
      <c r="E187" s="114">
        <v>244</v>
      </c>
      <c r="F187" s="114">
        <v>223</v>
      </c>
      <c r="G187" s="101" t="s">
        <v>532</v>
      </c>
      <c r="H187" s="117">
        <f t="shared" si="9"/>
        <v>0</v>
      </c>
      <c r="I187" s="124">
        <v>0</v>
      </c>
      <c r="J187" s="124"/>
      <c r="K187" s="112"/>
      <c r="L187" s="112"/>
      <c r="M187" s="112"/>
      <c r="N187" s="112"/>
    </row>
    <row r="188" spans="1:14" s="8" customFormat="1" ht="15" customHeight="1">
      <c r="A188" s="141" t="s">
        <v>321</v>
      </c>
      <c r="B188" s="114"/>
      <c r="C188" s="114">
        <v>223</v>
      </c>
      <c r="D188" s="115" t="s">
        <v>522</v>
      </c>
      <c r="E188" s="114">
        <v>244</v>
      </c>
      <c r="F188" s="114">
        <v>223</v>
      </c>
      <c r="G188" s="101" t="s">
        <v>532</v>
      </c>
      <c r="H188" s="117">
        <f t="shared" si="9"/>
        <v>568356.6799999999</v>
      </c>
      <c r="I188" s="124">
        <f>470359.68+97997</f>
        <v>568356.6799999999</v>
      </c>
      <c r="J188" s="124"/>
      <c r="K188" s="112"/>
      <c r="L188" s="112"/>
      <c r="M188" s="112"/>
      <c r="N188" s="112"/>
    </row>
    <row r="189" spans="1:14" s="8" customFormat="1" ht="15" customHeight="1">
      <c r="A189" s="141" t="s">
        <v>322</v>
      </c>
      <c r="B189" s="114"/>
      <c r="C189" s="114">
        <v>223</v>
      </c>
      <c r="D189" s="115" t="s">
        <v>522</v>
      </c>
      <c r="E189" s="114">
        <v>244</v>
      </c>
      <c r="F189" s="114">
        <v>223</v>
      </c>
      <c r="G189" s="101" t="s">
        <v>532</v>
      </c>
      <c r="H189" s="117">
        <f t="shared" si="9"/>
        <v>148192.91999999998</v>
      </c>
      <c r="I189" s="124">
        <f>125152.92+23040</f>
        <v>148192.91999999998</v>
      </c>
      <c r="J189" s="124"/>
      <c r="K189" s="112"/>
      <c r="L189" s="112"/>
      <c r="M189" s="112"/>
      <c r="N189" s="112"/>
    </row>
    <row r="190" spans="1:14" s="8" customFormat="1" ht="15" customHeight="1">
      <c r="A190" s="141" t="s">
        <v>319</v>
      </c>
      <c r="B190" s="486"/>
      <c r="C190" s="486">
        <v>223</v>
      </c>
      <c r="D190" s="487" t="s">
        <v>522</v>
      </c>
      <c r="E190" s="486">
        <v>244</v>
      </c>
      <c r="F190" s="486">
        <v>223</v>
      </c>
      <c r="G190" s="492" t="s">
        <v>828</v>
      </c>
      <c r="H190" s="490">
        <f t="shared" si="9"/>
        <v>459884</v>
      </c>
      <c r="I190" s="485">
        <v>459884</v>
      </c>
      <c r="J190" s="124"/>
      <c r="K190" s="112"/>
      <c r="L190" s="112"/>
      <c r="M190" s="112"/>
      <c r="N190" s="112"/>
    </row>
    <row r="191" spans="1:14" s="8" customFormat="1" ht="15" customHeight="1" hidden="1">
      <c r="A191" s="141" t="s">
        <v>319</v>
      </c>
      <c r="B191" s="486"/>
      <c r="C191" s="486">
        <v>223</v>
      </c>
      <c r="D191" s="487" t="s">
        <v>522</v>
      </c>
      <c r="E191" s="486">
        <v>244</v>
      </c>
      <c r="F191" s="486">
        <v>223</v>
      </c>
      <c r="G191" s="493" t="s">
        <v>532</v>
      </c>
      <c r="H191" s="490">
        <f t="shared" si="9"/>
        <v>0</v>
      </c>
      <c r="I191" s="485"/>
      <c r="J191" s="124"/>
      <c r="K191" s="112"/>
      <c r="L191" s="112"/>
      <c r="M191" s="112"/>
      <c r="N191" s="112"/>
    </row>
    <row r="192" spans="1:14" s="8" customFormat="1" ht="15" customHeight="1">
      <c r="A192" s="141" t="s">
        <v>321</v>
      </c>
      <c r="B192" s="486"/>
      <c r="C192" s="486">
        <v>223</v>
      </c>
      <c r="D192" s="487" t="s">
        <v>522</v>
      </c>
      <c r="E192" s="486">
        <v>244</v>
      </c>
      <c r="F192" s="486">
        <v>223</v>
      </c>
      <c r="G192" s="492" t="s">
        <v>828</v>
      </c>
      <c r="H192" s="490">
        <f t="shared" si="9"/>
        <v>240227</v>
      </c>
      <c r="I192" s="485">
        <v>240227</v>
      </c>
      <c r="J192" s="124"/>
      <c r="K192" s="112"/>
      <c r="L192" s="112"/>
      <c r="M192" s="112"/>
      <c r="N192" s="112"/>
    </row>
    <row r="193" spans="1:14" s="8" customFormat="1" ht="15" customHeight="1" hidden="1">
      <c r="A193" s="141" t="s">
        <v>321</v>
      </c>
      <c r="B193" s="486"/>
      <c r="C193" s="486">
        <v>223</v>
      </c>
      <c r="D193" s="487" t="s">
        <v>522</v>
      </c>
      <c r="E193" s="486">
        <v>244</v>
      </c>
      <c r="F193" s="486">
        <v>223</v>
      </c>
      <c r="G193" s="493" t="s">
        <v>532</v>
      </c>
      <c r="H193" s="490">
        <f t="shared" si="9"/>
        <v>0</v>
      </c>
      <c r="I193" s="485"/>
      <c r="J193" s="124"/>
      <c r="K193" s="112"/>
      <c r="L193" s="112"/>
      <c r="M193" s="112"/>
      <c r="N193" s="112"/>
    </row>
    <row r="194" spans="1:14" s="8" customFormat="1" ht="15" customHeight="1">
      <c r="A194" s="141" t="s">
        <v>322</v>
      </c>
      <c r="B194" s="486"/>
      <c r="C194" s="486">
        <v>223</v>
      </c>
      <c r="D194" s="487" t="s">
        <v>522</v>
      </c>
      <c r="E194" s="486">
        <v>244</v>
      </c>
      <c r="F194" s="486">
        <v>223</v>
      </c>
      <c r="G194" s="492" t="s">
        <v>828</v>
      </c>
      <c r="H194" s="490">
        <f t="shared" si="9"/>
        <v>120960</v>
      </c>
      <c r="I194" s="485">
        <v>120960</v>
      </c>
      <c r="J194" s="124"/>
      <c r="K194" s="112"/>
      <c r="L194" s="112"/>
      <c r="M194" s="112"/>
      <c r="N194" s="112"/>
    </row>
    <row r="195" spans="1:14" s="8" customFormat="1" ht="15" customHeight="1" hidden="1">
      <c r="A195" s="141" t="s">
        <v>322</v>
      </c>
      <c r="B195" s="486"/>
      <c r="C195" s="486">
        <v>223</v>
      </c>
      <c r="D195" s="487" t="s">
        <v>522</v>
      </c>
      <c r="E195" s="486">
        <v>244</v>
      </c>
      <c r="F195" s="486">
        <v>223</v>
      </c>
      <c r="G195" s="493" t="s">
        <v>532</v>
      </c>
      <c r="H195" s="490">
        <f t="shared" si="9"/>
        <v>0</v>
      </c>
      <c r="I195" s="485"/>
      <c r="J195" s="124"/>
      <c r="K195" s="112"/>
      <c r="L195" s="112"/>
      <c r="M195" s="112"/>
      <c r="N195" s="112"/>
    </row>
    <row r="196" spans="1:14" s="8" customFormat="1" ht="15" customHeight="1">
      <c r="A196" s="141" t="s">
        <v>319</v>
      </c>
      <c r="B196" s="114"/>
      <c r="C196" s="114">
        <v>223</v>
      </c>
      <c r="D196" s="115" t="s">
        <v>521</v>
      </c>
      <c r="E196" s="114">
        <v>244</v>
      </c>
      <c r="F196" s="114">
        <v>223</v>
      </c>
      <c r="G196" s="101" t="s">
        <v>533</v>
      </c>
      <c r="H196" s="117">
        <f t="shared" si="9"/>
        <v>153047.27</v>
      </c>
      <c r="I196" s="124">
        <v>0</v>
      </c>
      <c r="J196" s="124"/>
      <c r="K196" s="112"/>
      <c r="L196" s="112"/>
      <c r="M196" s="112">
        <v>153047.27</v>
      </c>
      <c r="N196" s="112"/>
    </row>
    <row r="197" spans="1:14" s="8" customFormat="1" ht="15" customHeight="1">
      <c r="A197" s="141" t="s">
        <v>319</v>
      </c>
      <c r="B197" s="486"/>
      <c r="C197" s="486">
        <v>223</v>
      </c>
      <c r="D197" s="497" t="s">
        <v>521</v>
      </c>
      <c r="E197" s="486">
        <v>244</v>
      </c>
      <c r="F197" s="486">
        <v>223</v>
      </c>
      <c r="G197" s="491" t="s">
        <v>533</v>
      </c>
      <c r="H197" s="490">
        <f t="shared" si="9"/>
        <v>18224</v>
      </c>
      <c r="I197" s="484">
        <v>0</v>
      </c>
      <c r="J197" s="484">
        <v>0</v>
      </c>
      <c r="K197" s="498">
        <v>0</v>
      </c>
      <c r="L197" s="498">
        <v>0</v>
      </c>
      <c r="M197" s="496">
        <v>18224</v>
      </c>
      <c r="N197" s="112"/>
    </row>
    <row r="198" spans="1:14" s="8" customFormat="1" ht="15" customHeight="1">
      <c r="A198" s="141" t="s">
        <v>321</v>
      </c>
      <c r="B198" s="114"/>
      <c r="C198" s="114">
        <v>223</v>
      </c>
      <c r="D198" s="115" t="s">
        <v>521</v>
      </c>
      <c r="E198" s="114">
        <v>244</v>
      </c>
      <c r="F198" s="114">
        <v>223</v>
      </c>
      <c r="G198" s="101" t="s">
        <v>533</v>
      </c>
      <c r="H198" s="117">
        <f t="shared" si="9"/>
        <v>161362.88</v>
      </c>
      <c r="I198" s="124">
        <v>0</v>
      </c>
      <c r="J198" s="124"/>
      <c r="K198" s="112"/>
      <c r="L198" s="112"/>
      <c r="M198" s="112">
        <v>161362.88</v>
      </c>
      <c r="N198" s="112"/>
    </row>
    <row r="199" spans="1:14" s="8" customFormat="1" ht="15" customHeight="1">
      <c r="A199" s="141" t="s">
        <v>321</v>
      </c>
      <c r="B199" s="486"/>
      <c r="C199" s="486">
        <v>223</v>
      </c>
      <c r="D199" s="497" t="s">
        <v>521</v>
      </c>
      <c r="E199" s="486">
        <v>244</v>
      </c>
      <c r="F199" s="486">
        <v>223</v>
      </c>
      <c r="G199" s="493" t="s">
        <v>533</v>
      </c>
      <c r="H199" s="490">
        <f t="shared" si="9"/>
        <v>13776</v>
      </c>
      <c r="I199" s="484">
        <v>0</v>
      </c>
      <c r="J199" s="484">
        <v>0</v>
      </c>
      <c r="K199" s="498">
        <v>0</v>
      </c>
      <c r="L199" s="498">
        <v>0</v>
      </c>
      <c r="M199" s="496">
        <v>13776</v>
      </c>
      <c r="N199" s="112"/>
    </row>
    <row r="200" spans="1:14" s="8" customFormat="1" ht="15" customHeight="1">
      <c r="A200" s="141" t="s">
        <v>322</v>
      </c>
      <c r="B200" s="114"/>
      <c r="C200" s="114">
        <v>223</v>
      </c>
      <c r="D200" s="115" t="s">
        <v>521</v>
      </c>
      <c r="E200" s="114">
        <v>244</v>
      </c>
      <c r="F200" s="114">
        <v>223</v>
      </c>
      <c r="G200" s="101" t="s">
        <v>533</v>
      </c>
      <c r="H200" s="117">
        <f t="shared" si="9"/>
        <v>50537.24</v>
      </c>
      <c r="I200" s="124">
        <v>0</v>
      </c>
      <c r="J200" s="124"/>
      <c r="K200" s="112"/>
      <c r="L200" s="112"/>
      <c r="M200" s="112">
        <v>50537.24</v>
      </c>
      <c r="N200" s="112"/>
    </row>
    <row r="201" spans="1:14" s="8" customFormat="1" ht="15" customHeight="1">
      <c r="A201" s="141" t="s">
        <v>322</v>
      </c>
      <c r="B201" s="486"/>
      <c r="C201" s="486">
        <v>223</v>
      </c>
      <c r="D201" s="497" t="s">
        <v>521</v>
      </c>
      <c r="E201" s="486">
        <v>244</v>
      </c>
      <c r="F201" s="486">
        <v>223</v>
      </c>
      <c r="G201" s="493" t="s">
        <v>533</v>
      </c>
      <c r="H201" s="490">
        <f t="shared" si="9"/>
        <v>8000</v>
      </c>
      <c r="I201" s="484">
        <v>0</v>
      </c>
      <c r="J201" s="484">
        <v>0</v>
      </c>
      <c r="K201" s="498">
        <v>0</v>
      </c>
      <c r="L201" s="498">
        <v>0</v>
      </c>
      <c r="M201" s="496">
        <v>8000</v>
      </c>
      <c r="N201" s="112"/>
    </row>
    <row r="202" spans="1:14" s="8" customFormat="1" ht="15" customHeight="1">
      <c r="A202" s="141" t="s">
        <v>323</v>
      </c>
      <c r="B202" s="114"/>
      <c r="C202" s="114">
        <v>224</v>
      </c>
      <c r="D202" s="114"/>
      <c r="E202" s="114"/>
      <c r="F202" s="114">
        <v>224</v>
      </c>
      <c r="G202" s="121"/>
      <c r="H202" s="117">
        <f t="shared" si="9"/>
        <v>0</v>
      </c>
      <c r="I202" s="124">
        <v>0</v>
      </c>
      <c r="J202" s="124"/>
      <c r="K202" s="112"/>
      <c r="L202" s="112"/>
      <c r="M202" s="112"/>
      <c r="N202" s="112"/>
    </row>
    <row r="203" spans="1:14" s="8" customFormat="1" ht="15" customHeight="1">
      <c r="A203" s="141" t="s">
        <v>324</v>
      </c>
      <c r="B203" s="114"/>
      <c r="C203" s="114">
        <v>225</v>
      </c>
      <c r="D203" s="115" t="s">
        <v>522</v>
      </c>
      <c r="E203" s="114">
        <v>244</v>
      </c>
      <c r="F203" s="114">
        <v>225</v>
      </c>
      <c r="G203" s="101" t="s">
        <v>531</v>
      </c>
      <c r="H203" s="117">
        <f t="shared" si="9"/>
        <v>127769.85999999999</v>
      </c>
      <c r="I203" s="124">
        <f>132945.86-5176</f>
        <v>127769.85999999999</v>
      </c>
      <c r="J203" s="124"/>
      <c r="K203" s="112"/>
      <c r="L203" s="112"/>
      <c r="M203" s="112"/>
      <c r="N203" s="112"/>
    </row>
    <row r="204" spans="1:14" s="8" customFormat="1" ht="15" customHeight="1">
      <c r="A204" s="141" t="s">
        <v>324</v>
      </c>
      <c r="B204" s="114"/>
      <c r="C204" s="114">
        <v>225</v>
      </c>
      <c r="D204" s="115" t="s">
        <v>522</v>
      </c>
      <c r="E204" s="114">
        <v>244</v>
      </c>
      <c r="F204" s="114">
        <v>225</v>
      </c>
      <c r="G204" s="101" t="s">
        <v>532</v>
      </c>
      <c r="H204" s="117">
        <f aca="true" t="shared" si="10" ref="H204:H211">I204+J204+K204+L204+M204+N204</f>
        <v>1892991.91</v>
      </c>
      <c r="I204" s="124">
        <f>1837882.27-23614.26+82473.9-3750</f>
        <v>1892991.91</v>
      </c>
      <c r="J204" s="124"/>
      <c r="K204" s="112"/>
      <c r="L204" s="112"/>
      <c r="M204" s="112"/>
      <c r="N204" s="112"/>
    </row>
    <row r="205" spans="1:14" s="8" customFormat="1" ht="15" customHeight="1">
      <c r="A205" s="141" t="s">
        <v>324</v>
      </c>
      <c r="B205" s="486"/>
      <c r="C205" s="486">
        <v>225</v>
      </c>
      <c r="D205" s="487" t="s">
        <v>522</v>
      </c>
      <c r="E205" s="486">
        <v>244</v>
      </c>
      <c r="F205" s="486">
        <v>225</v>
      </c>
      <c r="G205" s="492" t="s">
        <v>828</v>
      </c>
      <c r="H205" s="490">
        <f t="shared" si="10"/>
        <v>431000.92</v>
      </c>
      <c r="I205" s="485">
        <f>432987.99-1987.07</f>
        <v>431000.92</v>
      </c>
      <c r="J205" s="124"/>
      <c r="K205" s="112"/>
      <c r="L205" s="112"/>
      <c r="M205" s="112"/>
      <c r="N205" s="112"/>
    </row>
    <row r="206" spans="1:14" s="8" customFormat="1" ht="15" customHeight="1" hidden="1">
      <c r="A206" s="141" t="s">
        <v>324</v>
      </c>
      <c r="B206" s="486"/>
      <c r="C206" s="486">
        <v>225</v>
      </c>
      <c r="D206" s="487" t="s">
        <v>522</v>
      </c>
      <c r="E206" s="486">
        <v>244</v>
      </c>
      <c r="F206" s="486">
        <v>225</v>
      </c>
      <c r="G206" s="493" t="s">
        <v>532</v>
      </c>
      <c r="H206" s="490">
        <f t="shared" si="10"/>
        <v>0</v>
      </c>
      <c r="I206" s="485"/>
      <c r="J206" s="124"/>
      <c r="K206" s="112"/>
      <c r="L206" s="112"/>
      <c r="M206" s="112"/>
      <c r="N206" s="112"/>
    </row>
    <row r="207" spans="1:14" s="8" customFormat="1" ht="15" customHeight="1">
      <c r="A207" s="141" t="s">
        <v>324</v>
      </c>
      <c r="B207" s="114"/>
      <c r="C207" s="114">
        <v>225</v>
      </c>
      <c r="D207" s="115" t="s">
        <v>521</v>
      </c>
      <c r="E207" s="114">
        <v>244</v>
      </c>
      <c r="F207" s="114">
        <v>225</v>
      </c>
      <c r="G207" s="101" t="s">
        <v>533</v>
      </c>
      <c r="H207" s="117">
        <f t="shared" si="10"/>
        <v>2467848.93</v>
      </c>
      <c r="I207" s="124">
        <v>0</v>
      </c>
      <c r="J207" s="124"/>
      <c r="K207" s="112"/>
      <c r="L207" s="112"/>
      <c r="M207" s="112">
        <v>2467848.93</v>
      </c>
      <c r="N207" s="112"/>
    </row>
    <row r="208" spans="1:14" s="8" customFormat="1" ht="15" customHeight="1">
      <c r="A208" s="141" t="s">
        <v>324</v>
      </c>
      <c r="B208" s="486"/>
      <c r="C208" s="486">
        <v>225</v>
      </c>
      <c r="D208" s="497" t="s">
        <v>521</v>
      </c>
      <c r="E208" s="486">
        <v>244</v>
      </c>
      <c r="F208" s="486">
        <v>225</v>
      </c>
      <c r="G208" s="493" t="s">
        <v>533</v>
      </c>
      <c r="H208" s="490">
        <f t="shared" si="10"/>
        <v>92630.63</v>
      </c>
      <c r="I208" s="484">
        <v>0</v>
      </c>
      <c r="J208" s="484">
        <v>0</v>
      </c>
      <c r="K208" s="498">
        <v>0</v>
      </c>
      <c r="L208" s="498">
        <v>0</v>
      </c>
      <c r="M208" s="496">
        <f>35232+57398.63</f>
        <v>92630.63</v>
      </c>
      <c r="N208" s="112"/>
    </row>
    <row r="209" spans="1:14" s="8" customFormat="1" ht="15" customHeight="1">
      <c r="A209" s="141" t="s">
        <v>829</v>
      </c>
      <c r="B209" s="486"/>
      <c r="C209" s="486">
        <v>227</v>
      </c>
      <c r="D209" s="487" t="s">
        <v>522</v>
      </c>
      <c r="E209" s="486">
        <v>244</v>
      </c>
      <c r="F209" s="486">
        <v>227</v>
      </c>
      <c r="G209" s="492" t="s">
        <v>828</v>
      </c>
      <c r="H209" s="490">
        <f t="shared" si="10"/>
        <v>8000</v>
      </c>
      <c r="I209" s="485">
        <v>8000</v>
      </c>
      <c r="J209" s="124"/>
      <c r="K209" s="112"/>
      <c r="L209" s="112"/>
      <c r="M209" s="112"/>
      <c r="N209" s="112"/>
    </row>
    <row r="210" spans="1:14" s="8" customFormat="1" ht="15" customHeight="1">
      <c r="A210" s="141" t="s">
        <v>751</v>
      </c>
      <c r="B210" s="114"/>
      <c r="C210" s="114">
        <v>228</v>
      </c>
      <c r="D210" s="115" t="s">
        <v>521</v>
      </c>
      <c r="E210" s="114">
        <v>244</v>
      </c>
      <c r="F210" s="114">
        <v>228</v>
      </c>
      <c r="G210" s="101" t="s">
        <v>533</v>
      </c>
      <c r="H210" s="117">
        <f t="shared" si="10"/>
        <v>500000</v>
      </c>
      <c r="I210" s="124">
        <v>0</v>
      </c>
      <c r="J210" s="124"/>
      <c r="K210" s="112"/>
      <c r="L210" s="112"/>
      <c r="M210" s="112">
        <v>500000</v>
      </c>
      <c r="N210" s="112"/>
    </row>
    <row r="211" spans="1:14" s="8" customFormat="1" ht="15" customHeight="1">
      <c r="A211" s="141" t="s">
        <v>751</v>
      </c>
      <c r="B211" s="114"/>
      <c r="C211" s="114">
        <v>228</v>
      </c>
      <c r="D211" s="115" t="s">
        <v>522</v>
      </c>
      <c r="E211" s="114">
        <v>244</v>
      </c>
      <c r="F211" s="114">
        <v>228</v>
      </c>
      <c r="G211" s="101" t="s">
        <v>532</v>
      </c>
      <c r="H211" s="117">
        <f t="shared" si="10"/>
        <v>962846.06</v>
      </c>
      <c r="I211" s="124">
        <f>'ФЭО МЗ'!G314</f>
        <v>962846.06</v>
      </c>
      <c r="J211" s="124"/>
      <c r="K211" s="112"/>
      <c r="L211" s="112"/>
      <c r="M211" s="112"/>
      <c r="N211" s="112"/>
    </row>
    <row r="212" spans="1:14" s="8" customFormat="1" ht="15" customHeight="1">
      <c r="A212" s="141" t="s">
        <v>325</v>
      </c>
      <c r="B212" s="114"/>
      <c r="C212" s="114">
        <v>310</v>
      </c>
      <c r="D212" s="115" t="s">
        <v>522</v>
      </c>
      <c r="E212" s="114">
        <v>244</v>
      </c>
      <c r="F212" s="114">
        <v>310</v>
      </c>
      <c r="G212" s="101" t="s">
        <v>531</v>
      </c>
      <c r="H212" s="117">
        <f aca="true" t="shared" si="11" ref="H212:H219">I212+J212+K212+L212+M212+N212</f>
        <v>474097.52</v>
      </c>
      <c r="I212" s="124">
        <f>399789.61+74307.91</f>
        <v>474097.52</v>
      </c>
      <c r="J212" s="124"/>
      <c r="K212" s="112"/>
      <c r="L212" s="112"/>
      <c r="M212" s="112"/>
      <c r="N212" s="112"/>
    </row>
    <row r="213" spans="1:14" s="8" customFormat="1" ht="15" customHeight="1">
      <c r="A213" s="141" t="s">
        <v>325</v>
      </c>
      <c r="B213" s="114"/>
      <c r="C213" s="114">
        <v>310</v>
      </c>
      <c r="D213" s="115" t="s">
        <v>522</v>
      </c>
      <c r="E213" s="114">
        <v>244</v>
      </c>
      <c r="F213" s="114">
        <v>310</v>
      </c>
      <c r="G213" s="101" t="s">
        <v>532</v>
      </c>
      <c r="H213" s="117">
        <f t="shared" si="11"/>
        <v>313210.29000000004</v>
      </c>
      <c r="I213" s="124">
        <f>'ФЭО МЗ'!H413</f>
        <v>313210.29000000004</v>
      </c>
      <c r="J213" s="124"/>
      <c r="K213" s="112"/>
      <c r="L213" s="112"/>
      <c r="M213" s="112"/>
      <c r="N213" s="112"/>
    </row>
    <row r="214" spans="1:14" s="8" customFormat="1" ht="15" customHeight="1">
      <c r="A214" s="141" t="s">
        <v>325</v>
      </c>
      <c r="B214" s="486"/>
      <c r="C214" s="486">
        <v>310</v>
      </c>
      <c r="D214" s="487" t="s">
        <v>522</v>
      </c>
      <c r="E214" s="486">
        <v>244</v>
      </c>
      <c r="F214" s="486">
        <v>310</v>
      </c>
      <c r="G214" s="489" t="s">
        <v>535</v>
      </c>
      <c r="H214" s="490">
        <f t="shared" si="11"/>
        <v>194337.7</v>
      </c>
      <c r="I214" s="494">
        <v>194337.7</v>
      </c>
      <c r="J214" s="124"/>
      <c r="K214" s="112"/>
      <c r="L214" s="112"/>
      <c r="M214" s="112"/>
      <c r="N214" s="112"/>
    </row>
    <row r="215" spans="1:14" s="8" customFormat="1" ht="15" customHeight="1">
      <c r="A215" s="141" t="s">
        <v>325</v>
      </c>
      <c r="B215" s="486"/>
      <c r="C215" s="486">
        <v>310</v>
      </c>
      <c r="D215" s="487" t="s">
        <v>522</v>
      </c>
      <c r="E215" s="486">
        <v>244</v>
      </c>
      <c r="F215" s="486">
        <v>310</v>
      </c>
      <c r="G215" s="489" t="s">
        <v>531</v>
      </c>
      <c r="H215" s="490">
        <f t="shared" si="11"/>
        <v>0</v>
      </c>
      <c r="I215" s="485"/>
      <c r="J215" s="124"/>
      <c r="K215" s="112"/>
      <c r="L215" s="112"/>
      <c r="M215" s="112"/>
      <c r="N215" s="112"/>
    </row>
    <row r="216" spans="1:14" s="8" customFormat="1" ht="15" customHeight="1">
      <c r="A216" s="141" t="s">
        <v>325</v>
      </c>
      <c r="B216" s="114"/>
      <c r="C216" s="114">
        <v>310</v>
      </c>
      <c r="D216" s="115" t="s">
        <v>521</v>
      </c>
      <c r="E216" s="114">
        <v>244</v>
      </c>
      <c r="F216" s="114">
        <v>310</v>
      </c>
      <c r="G216" s="101" t="s">
        <v>533</v>
      </c>
      <c r="H216" s="117">
        <f t="shared" si="11"/>
        <v>464248</v>
      </c>
      <c r="I216" s="124">
        <v>0</v>
      </c>
      <c r="J216" s="124"/>
      <c r="K216" s="112"/>
      <c r="L216" s="112"/>
      <c r="M216" s="112">
        <v>464248</v>
      </c>
      <c r="N216" s="112"/>
    </row>
    <row r="217" spans="1:14" s="8" customFormat="1" ht="15" customHeight="1">
      <c r="A217" s="141" t="s">
        <v>325</v>
      </c>
      <c r="B217" s="486"/>
      <c r="C217" s="486">
        <v>310</v>
      </c>
      <c r="D217" s="497" t="s">
        <v>521</v>
      </c>
      <c r="E217" s="486">
        <v>244</v>
      </c>
      <c r="F217" s="486">
        <v>310</v>
      </c>
      <c r="G217" s="493" t="s">
        <v>533</v>
      </c>
      <c r="H217" s="490">
        <f t="shared" si="11"/>
        <v>110000</v>
      </c>
      <c r="I217" s="484">
        <v>0</v>
      </c>
      <c r="J217" s="484">
        <v>0</v>
      </c>
      <c r="K217" s="498">
        <v>0</v>
      </c>
      <c r="L217" s="498">
        <v>0</v>
      </c>
      <c r="M217" s="496">
        <v>110000</v>
      </c>
      <c r="N217" s="112"/>
    </row>
    <row r="218" spans="1:14" s="8" customFormat="1" ht="15" customHeight="1">
      <c r="A218" s="141" t="s">
        <v>326</v>
      </c>
      <c r="B218" s="114"/>
      <c r="C218" s="114">
        <v>320</v>
      </c>
      <c r="D218" s="114"/>
      <c r="E218" s="114"/>
      <c r="F218" s="114">
        <v>320</v>
      </c>
      <c r="G218" s="121"/>
      <c r="H218" s="117">
        <f t="shared" si="11"/>
        <v>0</v>
      </c>
      <c r="I218" s="124">
        <v>0</v>
      </c>
      <c r="J218" s="124"/>
      <c r="K218" s="112"/>
      <c r="L218" s="112"/>
      <c r="M218" s="112"/>
      <c r="N218" s="112"/>
    </row>
    <row r="219" spans="1:14" s="160" customFormat="1" ht="23.25" customHeight="1">
      <c r="A219" s="155" t="s">
        <v>327</v>
      </c>
      <c r="B219" s="156"/>
      <c r="C219" s="156">
        <v>340</v>
      </c>
      <c r="D219" s="156"/>
      <c r="E219" s="156">
        <v>244</v>
      </c>
      <c r="F219" s="156">
        <v>340</v>
      </c>
      <c r="G219" s="157"/>
      <c r="H219" s="158">
        <f t="shared" si="11"/>
        <v>5819168.5</v>
      </c>
      <c r="I219" s="159">
        <f>I220+I221+I227+I230+I237+I222+I223+I231+I232</f>
        <v>631723.93</v>
      </c>
      <c r="J219" s="159">
        <f>J220+J221+J227+J230+J237+J235+J236+J233+J224</f>
        <v>166379.27000000002</v>
      </c>
      <c r="K219" s="159">
        <f>K220+K221+K227+K230+K237</f>
        <v>0</v>
      </c>
      <c r="L219" s="159">
        <f>L220+L221+L227+L230+L237</f>
        <v>0</v>
      </c>
      <c r="M219" s="159">
        <f>SUM(M221:M237)</f>
        <v>5021065.3</v>
      </c>
      <c r="N219" s="159">
        <f>N220+N221+N227+N230+N237</f>
        <v>0</v>
      </c>
    </row>
    <row r="220" spans="1:14" s="8" customFormat="1" ht="15" customHeight="1">
      <c r="A220" s="141" t="s">
        <v>4</v>
      </c>
      <c r="B220" s="114"/>
      <c r="C220" s="114"/>
      <c r="D220" s="114"/>
      <c r="E220" s="114"/>
      <c r="F220" s="114"/>
      <c r="G220" s="121"/>
      <c r="H220" s="117"/>
      <c r="I220" s="124"/>
      <c r="J220" s="124"/>
      <c r="K220" s="112"/>
      <c r="L220" s="112"/>
      <c r="M220" s="112"/>
      <c r="N220" s="112"/>
    </row>
    <row r="221" spans="1:14" s="8" customFormat="1" ht="15" customHeight="1">
      <c r="A221" s="141" t="s">
        <v>328</v>
      </c>
      <c r="B221" s="114"/>
      <c r="C221" s="114">
        <v>341</v>
      </c>
      <c r="D221" s="115" t="s">
        <v>521</v>
      </c>
      <c r="E221" s="114">
        <v>244</v>
      </c>
      <c r="F221" s="114">
        <v>341</v>
      </c>
      <c r="G221" s="101" t="s">
        <v>533</v>
      </c>
      <c r="H221" s="117">
        <f aca="true" t="shared" si="12" ref="H221:H237">I221+J221+K221+L221+M221+N221</f>
        <v>50000</v>
      </c>
      <c r="I221" s="124">
        <v>0</v>
      </c>
      <c r="J221" s="124"/>
      <c r="K221" s="112"/>
      <c r="L221" s="112"/>
      <c r="M221" s="112">
        <v>50000</v>
      </c>
      <c r="N221" s="112"/>
    </row>
    <row r="222" spans="1:14" s="8" customFormat="1" ht="15" customHeight="1">
      <c r="A222" s="141" t="s">
        <v>328</v>
      </c>
      <c r="B222" s="486"/>
      <c r="C222" s="486">
        <v>341</v>
      </c>
      <c r="D222" s="487" t="s">
        <v>522</v>
      </c>
      <c r="E222" s="486">
        <v>244</v>
      </c>
      <c r="F222" s="486">
        <v>341</v>
      </c>
      <c r="G222" s="492" t="s">
        <v>828</v>
      </c>
      <c r="H222" s="490">
        <f t="shared" si="12"/>
        <v>7000</v>
      </c>
      <c r="I222" s="485">
        <v>7000</v>
      </c>
      <c r="J222" s="124"/>
      <c r="K222" s="112"/>
      <c r="L222" s="112"/>
      <c r="M222" s="112"/>
      <c r="N222" s="112"/>
    </row>
    <row r="223" spans="1:14" s="8" customFormat="1" ht="15" customHeight="1">
      <c r="A223" s="141" t="s">
        <v>329</v>
      </c>
      <c r="B223" s="486"/>
      <c r="C223" s="486">
        <v>342</v>
      </c>
      <c r="D223" s="487" t="s">
        <v>522</v>
      </c>
      <c r="E223" s="486">
        <v>244</v>
      </c>
      <c r="F223" s="486">
        <v>342</v>
      </c>
      <c r="G223" s="492" t="s">
        <v>828</v>
      </c>
      <c r="H223" s="490">
        <f t="shared" si="12"/>
        <v>437421.05</v>
      </c>
      <c r="I223" s="485">
        <v>437421.05</v>
      </c>
      <c r="J223" s="124"/>
      <c r="K223" s="112"/>
      <c r="L223" s="112"/>
      <c r="M223" s="112"/>
      <c r="N223" s="112"/>
    </row>
    <row r="224" spans="1:14" s="8" customFormat="1" ht="15" customHeight="1">
      <c r="A224" s="141" t="s">
        <v>329</v>
      </c>
      <c r="B224" s="486"/>
      <c r="C224" s="486">
        <v>340</v>
      </c>
      <c r="D224" s="497" t="s">
        <v>844</v>
      </c>
      <c r="E224" s="486">
        <v>244</v>
      </c>
      <c r="F224" s="486">
        <v>342</v>
      </c>
      <c r="G224" s="499" t="s">
        <v>535</v>
      </c>
      <c r="H224" s="490">
        <f t="shared" si="12"/>
        <v>144982.13</v>
      </c>
      <c r="I224" s="484">
        <v>0</v>
      </c>
      <c r="J224" s="485">
        <f>105204.41+39777.72</f>
        <v>144982.13</v>
      </c>
      <c r="K224" s="112"/>
      <c r="L224" s="112"/>
      <c r="M224" s="112"/>
      <c r="N224" s="112"/>
    </row>
    <row r="225" spans="1:15" s="8" customFormat="1" ht="15" customHeight="1">
      <c r="A225" s="141" t="s">
        <v>329</v>
      </c>
      <c r="B225" s="486"/>
      <c r="C225" s="486">
        <v>340</v>
      </c>
      <c r="D225" s="497" t="s">
        <v>521</v>
      </c>
      <c r="E225" s="486">
        <v>244</v>
      </c>
      <c r="F225" s="486">
        <v>342</v>
      </c>
      <c r="G225" s="493" t="s">
        <v>533</v>
      </c>
      <c r="H225" s="490">
        <f t="shared" si="12"/>
        <v>2990594.12</v>
      </c>
      <c r="I225" s="484">
        <v>0</v>
      </c>
      <c r="J225" s="484">
        <v>0</v>
      </c>
      <c r="K225" s="498">
        <v>0</v>
      </c>
      <c r="L225" s="498">
        <v>0</v>
      </c>
      <c r="M225" s="496">
        <f>2800000+190594.12</f>
        <v>2990594.12</v>
      </c>
      <c r="N225" s="112"/>
      <c r="O225" s="8">
        <v>4546064.3</v>
      </c>
    </row>
    <row r="226" spans="1:14" s="8" customFormat="1" ht="15" customHeight="1">
      <c r="A226" s="141" t="s">
        <v>329</v>
      </c>
      <c r="B226" s="486"/>
      <c r="C226" s="486">
        <v>340</v>
      </c>
      <c r="D226" s="497" t="s">
        <v>521</v>
      </c>
      <c r="E226" s="486">
        <v>244</v>
      </c>
      <c r="F226" s="486">
        <v>342</v>
      </c>
      <c r="G226" s="493" t="s">
        <v>533</v>
      </c>
      <c r="H226" s="490">
        <f>I226+J226+K226+L226+M226+N226</f>
        <v>1555471.18</v>
      </c>
      <c r="I226" s="484"/>
      <c r="J226" s="484"/>
      <c r="K226" s="498"/>
      <c r="L226" s="498"/>
      <c r="M226" s="495">
        <f>1430044+125427.18</f>
        <v>1555471.18</v>
      </c>
      <c r="N226" s="112"/>
    </row>
    <row r="227" spans="1:14" s="8" customFormat="1" ht="15" customHeight="1">
      <c r="A227" s="141" t="s">
        <v>848</v>
      </c>
      <c r="B227" s="114"/>
      <c r="C227" s="114">
        <v>344</v>
      </c>
      <c r="D227" s="115" t="s">
        <v>521</v>
      </c>
      <c r="E227" s="114">
        <v>244</v>
      </c>
      <c r="F227" s="114">
        <v>344</v>
      </c>
      <c r="G227" s="101" t="s">
        <v>533</v>
      </c>
      <c r="H227" s="117">
        <f t="shared" si="12"/>
        <v>50000</v>
      </c>
      <c r="I227" s="124">
        <v>0</v>
      </c>
      <c r="J227" s="124"/>
      <c r="K227" s="112"/>
      <c r="L227" s="112"/>
      <c r="M227" s="112">
        <v>50000</v>
      </c>
      <c r="N227" s="112"/>
    </row>
    <row r="228" spans="1:14" s="8" customFormat="1" ht="15" customHeight="1">
      <c r="A228" s="141" t="s">
        <v>849</v>
      </c>
      <c r="B228" s="486"/>
      <c r="C228" s="486">
        <v>340</v>
      </c>
      <c r="D228" s="497" t="s">
        <v>521</v>
      </c>
      <c r="E228" s="486">
        <v>244</v>
      </c>
      <c r="F228" s="486">
        <v>345</v>
      </c>
      <c r="G228" s="493" t="s">
        <v>533</v>
      </c>
      <c r="H228" s="490">
        <f t="shared" si="12"/>
        <v>100000</v>
      </c>
      <c r="I228" s="484">
        <v>0</v>
      </c>
      <c r="J228" s="484">
        <v>0</v>
      </c>
      <c r="K228" s="498">
        <v>0</v>
      </c>
      <c r="L228" s="498">
        <v>0</v>
      </c>
      <c r="M228" s="496">
        <v>100000</v>
      </c>
      <c r="N228" s="112"/>
    </row>
    <row r="229" spans="1:14" s="8" customFormat="1" ht="15" customHeight="1">
      <c r="A229" s="141" t="s">
        <v>330</v>
      </c>
      <c r="B229" s="114"/>
      <c r="C229" s="114">
        <v>346</v>
      </c>
      <c r="D229" s="115" t="s">
        <v>521</v>
      </c>
      <c r="E229" s="114">
        <v>244</v>
      </c>
      <c r="F229" s="114">
        <v>346</v>
      </c>
      <c r="G229" s="101" t="s">
        <v>533</v>
      </c>
      <c r="H229" s="117">
        <f t="shared" si="12"/>
        <v>175000</v>
      </c>
      <c r="I229" s="124"/>
      <c r="J229" s="124"/>
      <c r="K229" s="112"/>
      <c r="L229" s="112"/>
      <c r="M229" s="112">
        <v>175000</v>
      </c>
      <c r="N229" s="112"/>
    </row>
    <row r="230" spans="1:14" s="8" customFormat="1" ht="15" customHeight="1">
      <c r="A230" s="141" t="s">
        <v>330</v>
      </c>
      <c r="B230" s="114"/>
      <c r="C230" s="114">
        <v>346</v>
      </c>
      <c r="D230" s="115" t="s">
        <v>522</v>
      </c>
      <c r="E230" s="114">
        <v>244</v>
      </c>
      <c r="F230" s="114">
        <v>346</v>
      </c>
      <c r="G230" s="101" t="s">
        <v>532</v>
      </c>
      <c r="H230" s="117">
        <f t="shared" si="12"/>
        <v>177956.82</v>
      </c>
      <c r="I230" s="124">
        <f>124943.1+53013.72</f>
        <v>177956.82</v>
      </c>
      <c r="J230" s="124"/>
      <c r="K230" s="112"/>
      <c r="L230" s="112"/>
      <c r="M230" s="112"/>
      <c r="N230" s="112"/>
    </row>
    <row r="231" spans="1:14" s="8" customFormat="1" ht="15" customHeight="1">
      <c r="A231" s="141" t="s">
        <v>330</v>
      </c>
      <c r="B231" s="486"/>
      <c r="C231" s="486">
        <v>340</v>
      </c>
      <c r="D231" s="487" t="s">
        <v>522</v>
      </c>
      <c r="E231" s="486">
        <v>244</v>
      </c>
      <c r="F231" s="486">
        <v>346</v>
      </c>
      <c r="G231" s="492" t="s">
        <v>828</v>
      </c>
      <c r="H231" s="490">
        <f t="shared" si="12"/>
        <v>9346.06</v>
      </c>
      <c r="I231" s="485">
        <v>9346.06</v>
      </c>
      <c r="J231" s="124"/>
      <c r="K231" s="112"/>
      <c r="L231" s="112"/>
      <c r="M231" s="112"/>
      <c r="N231" s="112"/>
    </row>
    <row r="232" spans="1:14" s="8" customFormat="1" ht="15" customHeight="1" hidden="1">
      <c r="A232" s="141" t="s">
        <v>330</v>
      </c>
      <c r="B232" s="486"/>
      <c r="C232" s="486">
        <v>340</v>
      </c>
      <c r="D232" s="487" t="s">
        <v>522</v>
      </c>
      <c r="E232" s="486">
        <v>244</v>
      </c>
      <c r="F232" s="486">
        <v>346</v>
      </c>
      <c r="G232" s="493" t="s">
        <v>532</v>
      </c>
      <c r="H232" s="490">
        <f t="shared" si="12"/>
        <v>0</v>
      </c>
      <c r="I232" s="485"/>
      <c r="J232" s="124"/>
      <c r="K232" s="112"/>
      <c r="L232" s="112"/>
      <c r="M232" s="112"/>
      <c r="N232" s="112"/>
    </row>
    <row r="233" spans="1:14" s="8" customFormat="1" ht="15" customHeight="1">
      <c r="A233" s="141" t="s">
        <v>330</v>
      </c>
      <c r="B233" s="114"/>
      <c r="C233" s="114">
        <v>346</v>
      </c>
      <c r="D233" s="115" t="s">
        <v>795</v>
      </c>
      <c r="E233" s="114">
        <v>244</v>
      </c>
      <c r="F233" s="114">
        <v>346</v>
      </c>
      <c r="G233" s="101" t="s">
        <v>800</v>
      </c>
      <c r="H233" s="117">
        <f t="shared" si="12"/>
        <v>7042.14</v>
      </c>
      <c r="I233" s="124"/>
      <c r="J233" s="466">
        <v>7042.14</v>
      </c>
      <c r="K233" s="112"/>
      <c r="L233" s="112"/>
      <c r="M233" s="112"/>
      <c r="N233" s="112"/>
    </row>
    <row r="234" spans="1:14" s="8" customFormat="1" ht="15" customHeight="1">
      <c r="A234" s="141" t="s">
        <v>330</v>
      </c>
      <c r="B234" s="114"/>
      <c r="C234" s="114">
        <v>349</v>
      </c>
      <c r="D234" s="115" t="s">
        <v>521</v>
      </c>
      <c r="E234" s="114">
        <v>244</v>
      </c>
      <c r="F234" s="114">
        <v>349</v>
      </c>
      <c r="G234" s="101" t="s">
        <v>533</v>
      </c>
      <c r="H234" s="117">
        <f t="shared" si="12"/>
        <v>100000</v>
      </c>
      <c r="I234" s="124"/>
      <c r="J234" s="466"/>
      <c r="K234" s="112"/>
      <c r="L234" s="112"/>
      <c r="M234" s="112">
        <v>100000</v>
      </c>
      <c r="N234" s="112"/>
    </row>
    <row r="235" spans="1:14" s="8" customFormat="1" ht="15" customHeight="1">
      <c r="A235" s="141" t="s">
        <v>330</v>
      </c>
      <c r="B235" s="114"/>
      <c r="C235" s="114">
        <v>349</v>
      </c>
      <c r="D235" s="115" t="s">
        <v>797</v>
      </c>
      <c r="E235" s="114">
        <v>244</v>
      </c>
      <c r="F235" s="114">
        <v>349</v>
      </c>
      <c r="G235" s="508" t="s">
        <v>798</v>
      </c>
      <c r="H235" s="117">
        <f t="shared" si="12"/>
        <v>12915</v>
      </c>
      <c r="I235" s="124"/>
      <c r="J235" s="466">
        <v>12915</v>
      </c>
      <c r="K235" s="112"/>
      <c r="L235" s="112"/>
      <c r="M235" s="112"/>
      <c r="N235" s="112"/>
    </row>
    <row r="236" spans="1:14" s="8" customFormat="1" ht="15" customHeight="1">
      <c r="A236" s="141" t="s">
        <v>330</v>
      </c>
      <c r="B236" s="114"/>
      <c r="C236" s="114">
        <v>349</v>
      </c>
      <c r="D236" s="115" t="s">
        <v>796</v>
      </c>
      <c r="E236" s="114">
        <v>244</v>
      </c>
      <c r="F236" s="114">
        <v>349</v>
      </c>
      <c r="G236" s="508" t="s">
        <v>798</v>
      </c>
      <c r="H236" s="117">
        <f t="shared" si="12"/>
        <v>1440</v>
      </c>
      <c r="I236" s="124"/>
      <c r="J236" s="466">
        <v>1440</v>
      </c>
      <c r="K236" s="112"/>
      <c r="L236" s="112"/>
      <c r="M236" s="112"/>
      <c r="N236" s="112"/>
    </row>
    <row r="237" spans="1:14" s="8" customFormat="1" ht="15" customHeight="1">
      <c r="A237" s="141" t="s">
        <v>331</v>
      </c>
      <c r="B237" s="114"/>
      <c r="C237" s="114"/>
      <c r="D237" s="114"/>
      <c r="E237" s="114"/>
      <c r="F237" s="114"/>
      <c r="G237" s="121"/>
      <c r="H237" s="117">
        <f t="shared" si="12"/>
        <v>0</v>
      </c>
      <c r="I237" s="124">
        <v>0</v>
      </c>
      <c r="J237" s="466"/>
      <c r="K237" s="112"/>
      <c r="L237" s="112"/>
      <c r="M237" s="112"/>
      <c r="N237" s="112"/>
    </row>
    <row r="238" spans="1:14" s="8" customFormat="1" ht="17.25" customHeight="1">
      <c r="A238" s="141" t="s">
        <v>332</v>
      </c>
      <c r="B238" s="114"/>
      <c r="C238" s="114">
        <v>530</v>
      </c>
      <c r="D238" s="114"/>
      <c r="E238" s="114">
        <v>465</v>
      </c>
      <c r="F238" s="114">
        <v>530</v>
      </c>
      <c r="G238" s="121"/>
      <c r="H238" s="117"/>
      <c r="I238" s="124"/>
      <c r="J238" s="466"/>
      <c r="K238" s="112"/>
      <c r="L238" s="112"/>
      <c r="M238" s="112"/>
      <c r="N238" s="112"/>
    </row>
    <row r="239" spans="1:14" s="160" customFormat="1" ht="17.25" customHeight="1">
      <c r="A239" s="155" t="s">
        <v>333</v>
      </c>
      <c r="B239" s="156"/>
      <c r="C239" s="156">
        <v>226</v>
      </c>
      <c r="D239" s="156"/>
      <c r="E239" s="156">
        <v>244</v>
      </c>
      <c r="F239" s="156">
        <v>226</v>
      </c>
      <c r="G239" s="157"/>
      <c r="H239" s="158">
        <f>I239+J239+K239+L239+M239+N239</f>
        <v>3373987.8899999997</v>
      </c>
      <c r="I239" s="159">
        <f>SUM(I241:I250)</f>
        <v>1539495.9</v>
      </c>
      <c r="J239" s="467">
        <f>J241+J242+J243+J253+J251+J252</f>
        <v>123215.3</v>
      </c>
      <c r="K239" s="159">
        <f>K241+K242+K243</f>
        <v>0</v>
      </c>
      <c r="L239" s="159">
        <f>L241+L242+L243</f>
        <v>0</v>
      </c>
      <c r="M239" s="159">
        <f>SUM(M242:M255)</f>
        <v>1711276.69</v>
      </c>
      <c r="N239" s="159">
        <f>N241+N242+N243</f>
        <v>0</v>
      </c>
    </row>
    <row r="240" spans="1:14" s="8" customFormat="1" ht="17.25" customHeight="1">
      <c r="A240" s="141" t="s">
        <v>4</v>
      </c>
      <c r="B240" s="114"/>
      <c r="C240" s="114"/>
      <c r="D240" s="114"/>
      <c r="E240" s="114"/>
      <c r="F240" s="114"/>
      <c r="G240" s="121"/>
      <c r="H240" s="117"/>
      <c r="I240" s="124"/>
      <c r="J240" s="466"/>
      <c r="K240" s="112"/>
      <c r="L240" s="112"/>
      <c r="M240" s="112"/>
      <c r="N240" s="112"/>
    </row>
    <row r="241" spans="1:14" s="8" customFormat="1" ht="17.25" customHeight="1">
      <c r="A241" s="141" t="s">
        <v>334</v>
      </c>
      <c r="B241" s="114"/>
      <c r="C241" s="114"/>
      <c r="D241" s="114"/>
      <c r="E241" s="114"/>
      <c r="F241" s="114"/>
      <c r="G241" s="121"/>
      <c r="H241" s="117">
        <f aca="true" t="shared" si="13" ref="H241:H256">I241+J241+K241+L241+M241+N241</f>
        <v>0</v>
      </c>
      <c r="I241" s="124"/>
      <c r="J241" s="466"/>
      <c r="K241" s="112"/>
      <c r="L241" s="112"/>
      <c r="M241" s="112"/>
      <c r="N241" s="112"/>
    </row>
    <row r="242" spans="1:14" s="8" customFormat="1" ht="28.5" customHeight="1">
      <c r="A242" s="141" t="s">
        <v>335</v>
      </c>
      <c r="B242" s="114"/>
      <c r="C242" s="114"/>
      <c r="D242" s="114"/>
      <c r="E242" s="114"/>
      <c r="F242" s="114"/>
      <c r="G242" s="121"/>
      <c r="H242" s="117">
        <f t="shared" si="13"/>
        <v>0</v>
      </c>
      <c r="I242" s="124"/>
      <c r="J242" s="466"/>
      <c r="K242" s="112"/>
      <c r="L242" s="112"/>
      <c r="M242" s="112"/>
      <c r="N242" s="112"/>
    </row>
    <row r="243" spans="1:14" s="8" customFormat="1" ht="17.25" customHeight="1">
      <c r="A243" s="141" t="s">
        <v>336</v>
      </c>
      <c r="B243" s="114"/>
      <c r="C243" s="114">
        <v>226</v>
      </c>
      <c r="D243" s="115" t="s">
        <v>522</v>
      </c>
      <c r="E243" s="114">
        <v>244</v>
      </c>
      <c r="F243" s="114">
        <v>226</v>
      </c>
      <c r="G243" s="101" t="s">
        <v>531</v>
      </c>
      <c r="H243" s="117">
        <f t="shared" si="13"/>
        <v>105269</v>
      </c>
      <c r="I243" s="124">
        <f>101269+4000</f>
        <v>105269</v>
      </c>
      <c r="J243" s="466"/>
      <c r="K243" s="112"/>
      <c r="L243" s="112"/>
      <c r="M243" s="112"/>
      <c r="N243" s="112"/>
    </row>
    <row r="244" spans="1:14" s="8" customFormat="1" ht="17.25" customHeight="1">
      <c r="A244" s="141" t="s">
        <v>336</v>
      </c>
      <c r="B244" s="114"/>
      <c r="C244" s="114">
        <v>226</v>
      </c>
      <c r="D244" s="115" t="s">
        <v>522</v>
      </c>
      <c r="E244" s="114">
        <v>244</v>
      </c>
      <c r="F244" s="114">
        <v>226</v>
      </c>
      <c r="G244" s="101" t="s">
        <v>532</v>
      </c>
      <c r="H244" s="117">
        <f t="shared" si="13"/>
        <v>351045.33999999997</v>
      </c>
      <c r="I244" s="124">
        <f>204187.9+146857.44</f>
        <v>351045.33999999997</v>
      </c>
      <c r="J244" s="466"/>
      <c r="K244" s="112"/>
      <c r="L244" s="112"/>
      <c r="M244" s="112"/>
      <c r="N244" s="112"/>
    </row>
    <row r="245" spans="1:14" s="8" customFormat="1" ht="17.25" customHeight="1">
      <c r="A245" s="141" t="s">
        <v>336</v>
      </c>
      <c r="B245" s="114"/>
      <c r="C245" s="114">
        <v>226</v>
      </c>
      <c r="D245" s="115" t="s">
        <v>522</v>
      </c>
      <c r="E245" s="114">
        <v>244</v>
      </c>
      <c r="F245" s="114">
        <v>226</v>
      </c>
      <c r="G245" s="101" t="s">
        <v>793</v>
      </c>
      <c r="H245" s="117">
        <f t="shared" si="13"/>
        <v>312180</v>
      </c>
      <c r="I245" s="124">
        <v>312180</v>
      </c>
      <c r="J245" s="466"/>
      <c r="K245" s="112"/>
      <c r="L245" s="112"/>
      <c r="M245" s="112"/>
      <c r="N245" s="112"/>
    </row>
    <row r="246" spans="1:14" s="8" customFormat="1" ht="28.5" customHeight="1">
      <c r="A246" s="141" t="s">
        <v>335</v>
      </c>
      <c r="B246" s="486"/>
      <c r="C246" s="488">
        <v>226</v>
      </c>
      <c r="D246" s="487" t="s">
        <v>522</v>
      </c>
      <c r="E246" s="488">
        <v>244</v>
      </c>
      <c r="F246" s="488">
        <v>226</v>
      </c>
      <c r="G246" s="492" t="s">
        <v>828</v>
      </c>
      <c r="H246" s="490">
        <f t="shared" si="13"/>
        <v>3000</v>
      </c>
      <c r="I246" s="485">
        <v>3000</v>
      </c>
      <c r="J246" s="466"/>
      <c r="K246" s="112"/>
      <c r="L246" s="112"/>
      <c r="M246" s="112"/>
      <c r="N246" s="112"/>
    </row>
    <row r="247" spans="1:14" s="8" customFormat="1" ht="17.25" customHeight="1">
      <c r="A247" s="141" t="s">
        <v>336</v>
      </c>
      <c r="B247" s="486"/>
      <c r="C247" s="488">
        <v>226</v>
      </c>
      <c r="D247" s="487" t="s">
        <v>522</v>
      </c>
      <c r="E247" s="488">
        <v>244</v>
      </c>
      <c r="F247" s="488">
        <v>226</v>
      </c>
      <c r="G247" s="489" t="s">
        <v>535</v>
      </c>
      <c r="H247" s="490">
        <f>I247+J247+K247+L247+M247+N247</f>
        <v>8000</v>
      </c>
      <c r="I247" s="485">
        <v>8000</v>
      </c>
      <c r="J247" s="466"/>
      <c r="K247" s="112"/>
      <c r="L247" s="112"/>
      <c r="M247" s="112"/>
      <c r="N247" s="112"/>
    </row>
    <row r="248" spans="1:14" s="8" customFormat="1" ht="17.25" customHeight="1" hidden="1">
      <c r="A248" s="141" t="s">
        <v>336</v>
      </c>
      <c r="B248" s="486"/>
      <c r="C248" s="488">
        <v>226</v>
      </c>
      <c r="D248" s="487" t="s">
        <v>522</v>
      </c>
      <c r="E248" s="488">
        <v>244</v>
      </c>
      <c r="F248" s="488">
        <v>226</v>
      </c>
      <c r="G248" s="489" t="s">
        <v>531</v>
      </c>
      <c r="H248" s="490">
        <f t="shared" si="13"/>
        <v>0</v>
      </c>
      <c r="I248" s="485"/>
      <c r="J248" s="466"/>
      <c r="K248" s="112"/>
      <c r="L248" s="112"/>
      <c r="M248" s="112"/>
      <c r="N248" s="112"/>
    </row>
    <row r="249" spans="1:14" s="8" customFormat="1" ht="17.25" customHeight="1">
      <c r="A249" s="141" t="s">
        <v>336</v>
      </c>
      <c r="B249" s="486"/>
      <c r="C249" s="486">
        <v>226</v>
      </c>
      <c r="D249" s="487" t="s">
        <v>522</v>
      </c>
      <c r="E249" s="486">
        <v>244</v>
      </c>
      <c r="F249" s="486">
        <v>226</v>
      </c>
      <c r="G249" s="492" t="s">
        <v>828</v>
      </c>
      <c r="H249" s="490">
        <f t="shared" si="13"/>
        <v>760001.56</v>
      </c>
      <c r="I249" s="485">
        <v>760001.56</v>
      </c>
      <c r="J249" s="466"/>
      <c r="K249" s="112"/>
      <c r="L249" s="112"/>
      <c r="M249" s="112"/>
      <c r="N249" s="112"/>
    </row>
    <row r="250" spans="1:14" s="8" customFormat="1" ht="17.25" customHeight="1" hidden="1">
      <c r="A250" s="141" t="s">
        <v>336</v>
      </c>
      <c r="B250" s="486"/>
      <c r="C250" s="486">
        <v>226</v>
      </c>
      <c r="D250" s="487" t="s">
        <v>522</v>
      </c>
      <c r="E250" s="486">
        <v>244</v>
      </c>
      <c r="F250" s="486">
        <v>226</v>
      </c>
      <c r="G250" s="493" t="s">
        <v>532</v>
      </c>
      <c r="H250" s="490">
        <f t="shared" si="13"/>
        <v>0</v>
      </c>
      <c r="I250" s="485"/>
      <c r="J250" s="466"/>
      <c r="K250" s="112"/>
      <c r="L250" s="112"/>
      <c r="M250" s="112"/>
      <c r="N250" s="112"/>
    </row>
    <row r="251" spans="1:14" s="8" customFormat="1" ht="17.25" customHeight="1">
      <c r="A251" s="141" t="s">
        <v>336</v>
      </c>
      <c r="B251" s="486"/>
      <c r="C251" s="486">
        <v>226</v>
      </c>
      <c r="D251" s="487" t="s">
        <v>846</v>
      </c>
      <c r="E251" s="486">
        <v>244</v>
      </c>
      <c r="F251" s="486">
        <v>226</v>
      </c>
      <c r="G251" s="493" t="s">
        <v>847</v>
      </c>
      <c r="H251" s="490">
        <f t="shared" si="13"/>
        <v>112000</v>
      </c>
      <c r="I251" s="485"/>
      <c r="J251" s="466">
        <f>56000*2</f>
        <v>112000</v>
      </c>
      <c r="K251" s="112"/>
      <c r="L251" s="112"/>
      <c r="M251" s="112"/>
      <c r="N251" s="112"/>
    </row>
    <row r="252" spans="1:14" s="8" customFormat="1" ht="17.25" customHeight="1" hidden="1">
      <c r="A252" s="141" t="s">
        <v>845</v>
      </c>
      <c r="B252" s="486"/>
      <c r="C252" s="486">
        <v>226</v>
      </c>
      <c r="D252" s="497" t="s">
        <v>846</v>
      </c>
      <c r="E252" s="486">
        <v>244</v>
      </c>
      <c r="F252" s="486">
        <v>226</v>
      </c>
      <c r="G252" s="493" t="s">
        <v>847</v>
      </c>
      <c r="H252" s="490">
        <f>I252+J252+K252+L252+M252+N252</f>
        <v>0</v>
      </c>
      <c r="I252" s="484">
        <v>0</v>
      </c>
      <c r="J252" s="485"/>
      <c r="K252" s="112"/>
      <c r="L252" s="112"/>
      <c r="M252" s="112"/>
      <c r="N252" s="112"/>
    </row>
    <row r="253" spans="1:14" s="8" customFormat="1" ht="17.25" customHeight="1">
      <c r="A253" s="141" t="s">
        <v>336</v>
      </c>
      <c r="B253" s="114"/>
      <c r="C253" s="114">
        <v>226</v>
      </c>
      <c r="D253" s="115">
        <v>901270000</v>
      </c>
      <c r="E253" s="114">
        <v>244</v>
      </c>
      <c r="F253" s="114">
        <v>226</v>
      </c>
      <c r="G253" s="101" t="s">
        <v>800</v>
      </c>
      <c r="H253" s="117">
        <f t="shared" si="13"/>
        <v>11215.3</v>
      </c>
      <c r="I253" s="124"/>
      <c r="J253" s="466">
        <v>11215.3</v>
      </c>
      <c r="K253" s="112"/>
      <c r="L253" s="112"/>
      <c r="M253" s="112"/>
      <c r="N253" s="112"/>
    </row>
    <row r="254" spans="1:14" s="8" customFormat="1" ht="17.25" customHeight="1">
      <c r="A254" s="141" t="s">
        <v>336</v>
      </c>
      <c r="B254" s="114"/>
      <c r="C254" s="114">
        <v>226</v>
      </c>
      <c r="D254" s="115" t="s">
        <v>521</v>
      </c>
      <c r="E254" s="114">
        <v>244</v>
      </c>
      <c r="F254" s="114">
        <v>226</v>
      </c>
      <c r="G254" s="101" t="s">
        <v>533</v>
      </c>
      <c r="H254" s="117">
        <f t="shared" si="13"/>
        <v>1711276.69</v>
      </c>
      <c r="I254" s="124">
        <v>0</v>
      </c>
      <c r="J254" s="124"/>
      <c r="K254" s="112"/>
      <c r="L254" s="112"/>
      <c r="M254" s="112">
        <f>1519276.69-1000+193000</f>
        <v>1711276.69</v>
      </c>
      <c r="N254" s="112"/>
    </row>
    <row r="255" spans="1:14" s="8" customFormat="1" ht="17.25" customHeight="1">
      <c r="A255" s="141" t="s">
        <v>336</v>
      </c>
      <c r="B255" s="486"/>
      <c r="C255" s="486">
        <v>226</v>
      </c>
      <c r="D255" s="497" t="s">
        <v>521</v>
      </c>
      <c r="E255" s="486">
        <v>244</v>
      </c>
      <c r="F255" s="486">
        <v>226</v>
      </c>
      <c r="G255" s="493" t="s">
        <v>533</v>
      </c>
      <c r="H255" s="490">
        <f t="shared" si="13"/>
        <v>0</v>
      </c>
      <c r="I255" s="484">
        <v>0</v>
      </c>
      <c r="J255" s="484">
        <v>0</v>
      </c>
      <c r="K255" s="498">
        <v>0</v>
      </c>
      <c r="L255" s="498">
        <v>0</v>
      </c>
      <c r="M255" s="496"/>
      <c r="N255" s="112"/>
    </row>
    <row r="256" spans="1:14" s="8" customFormat="1" ht="17.25" customHeight="1">
      <c r="A256" s="141" t="s">
        <v>400</v>
      </c>
      <c r="B256" s="114"/>
      <c r="C256" s="114">
        <v>297</v>
      </c>
      <c r="D256" s="115"/>
      <c r="E256" s="114">
        <v>244</v>
      </c>
      <c r="F256" s="114">
        <v>296</v>
      </c>
      <c r="G256" s="101"/>
      <c r="H256" s="117">
        <f t="shared" si="13"/>
        <v>0</v>
      </c>
      <c r="I256" s="124"/>
      <c r="J256" s="124"/>
      <c r="K256" s="112"/>
      <c r="L256" s="112"/>
      <c r="M256" s="112">
        <v>0</v>
      </c>
      <c r="N256" s="112"/>
    </row>
    <row r="257" spans="1:14" s="8" customFormat="1" ht="17.25" customHeight="1">
      <c r="A257" s="135" t="s">
        <v>53</v>
      </c>
      <c r="B257" s="114">
        <v>300</v>
      </c>
      <c r="C257" s="114" t="s">
        <v>10</v>
      </c>
      <c r="D257" s="114"/>
      <c r="E257" s="114"/>
      <c r="F257" s="114" t="s">
        <v>10</v>
      </c>
      <c r="G257" s="121"/>
      <c r="H257" s="117">
        <f>H259+H260</f>
        <v>0</v>
      </c>
      <c r="I257" s="124">
        <f aca="true" t="shared" si="14" ref="I257:N257">I259+I260</f>
        <v>0</v>
      </c>
      <c r="J257" s="124">
        <f t="shared" si="14"/>
        <v>0</v>
      </c>
      <c r="K257" s="124">
        <f t="shared" si="14"/>
        <v>0</v>
      </c>
      <c r="L257" s="124">
        <f t="shared" si="14"/>
        <v>0</v>
      </c>
      <c r="M257" s="124">
        <f t="shared" si="14"/>
        <v>0</v>
      </c>
      <c r="N257" s="124">
        <f t="shared" si="14"/>
        <v>0</v>
      </c>
    </row>
    <row r="258" spans="1:14" s="8" customFormat="1" ht="14.25" customHeight="1">
      <c r="A258" s="135" t="s">
        <v>3</v>
      </c>
      <c r="B258" s="114"/>
      <c r="C258" s="147"/>
      <c r="D258" s="114"/>
      <c r="E258" s="114"/>
      <c r="F258" s="147"/>
      <c r="G258" s="148"/>
      <c r="H258" s="117"/>
      <c r="I258" s="124"/>
      <c r="J258" s="124"/>
      <c r="K258" s="112"/>
      <c r="L258" s="112"/>
      <c r="M258" s="112"/>
      <c r="N258" s="112"/>
    </row>
    <row r="259" spans="1:14" s="8" customFormat="1" ht="16.5" customHeight="1">
      <c r="A259" s="135" t="s">
        <v>54</v>
      </c>
      <c r="B259" s="143">
        <v>310</v>
      </c>
      <c r="C259" s="149"/>
      <c r="D259" s="143"/>
      <c r="E259" s="143"/>
      <c r="F259" s="149"/>
      <c r="G259" s="150"/>
      <c r="H259" s="117">
        <f>I259+J259+K259+L259+M259+N259</f>
        <v>0</v>
      </c>
      <c r="I259" s="124"/>
      <c r="J259" s="124"/>
      <c r="K259" s="112"/>
      <c r="L259" s="112"/>
      <c r="M259" s="112"/>
      <c r="N259" s="112"/>
    </row>
    <row r="260" spans="1:14" s="151" customFormat="1" ht="15" customHeight="1">
      <c r="A260" s="135" t="s">
        <v>55</v>
      </c>
      <c r="B260" s="114">
        <v>320</v>
      </c>
      <c r="C260" s="114"/>
      <c r="D260" s="114"/>
      <c r="E260" s="114"/>
      <c r="F260" s="114"/>
      <c r="G260" s="121"/>
      <c r="H260" s="117">
        <f>I260+J260+K260+L260+M260+N260</f>
        <v>0</v>
      </c>
      <c r="I260" s="124"/>
      <c r="J260" s="124"/>
      <c r="K260" s="112"/>
      <c r="L260" s="112"/>
      <c r="M260" s="112"/>
      <c r="N260" s="112"/>
    </row>
    <row r="261" spans="1:14" s="151" customFormat="1" ht="17.25" customHeight="1">
      <c r="A261" s="135" t="s">
        <v>56</v>
      </c>
      <c r="B261" s="114">
        <v>400</v>
      </c>
      <c r="C261" s="114"/>
      <c r="D261" s="114"/>
      <c r="E261" s="114"/>
      <c r="F261" s="114"/>
      <c r="G261" s="121"/>
      <c r="H261" s="117">
        <f>H263+H264</f>
        <v>0</v>
      </c>
      <c r="I261" s="124">
        <f aca="true" t="shared" si="15" ref="I261:N261">I263+I264</f>
        <v>0</v>
      </c>
      <c r="J261" s="124">
        <f t="shared" si="15"/>
        <v>0</v>
      </c>
      <c r="K261" s="124">
        <f t="shared" si="15"/>
        <v>0</v>
      </c>
      <c r="L261" s="124">
        <f t="shared" si="15"/>
        <v>0</v>
      </c>
      <c r="M261" s="124">
        <f t="shared" si="15"/>
        <v>0</v>
      </c>
      <c r="N261" s="124">
        <f t="shared" si="15"/>
        <v>0</v>
      </c>
    </row>
    <row r="262" spans="1:14" s="151" customFormat="1" ht="14.25" customHeight="1">
      <c r="A262" s="135" t="s">
        <v>3</v>
      </c>
      <c r="B262" s="114"/>
      <c r="C262" s="147"/>
      <c r="D262" s="114"/>
      <c r="E262" s="114"/>
      <c r="F262" s="147"/>
      <c r="G262" s="148"/>
      <c r="H262" s="117"/>
      <c r="I262" s="124"/>
      <c r="J262" s="124"/>
      <c r="K262" s="112"/>
      <c r="L262" s="112"/>
      <c r="M262" s="112"/>
      <c r="N262" s="112"/>
    </row>
    <row r="263" spans="1:14" s="151" customFormat="1" ht="15.75" customHeight="1">
      <c r="A263" s="135" t="s">
        <v>57</v>
      </c>
      <c r="B263" s="143">
        <v>410</v>
      </c>
      <c r="C263" s="149"/>
      <c r="D263" s="143"/>
      <c r="E263" s="143"/>
      <c r="F263" s="149"/>
      <c r="G263" s="150"/>
      <c r="H263" s="117">
        <f aca="true" t="shared" si="16" ref="H263:H285">I263+J263+K263+L263+M263+N263</f>
        <v>0</v>
      </c>
      <c r="I263" s="124"/>
      <c r="J263" s="124"/>
      <c r="K263" s="112"/>
      <c r="L263" s="112"/>
      <c r="M263" s="112"/>
      <c r="N263" s="112"/>
    </row>
    <row r="264" spans="1:14" s="151" customFormat="1" ht="13.5" customHeight="1">
      <c r="A264" s="135" t="s">
        <v>58</v>
      </c>
      <c r="B264" s="114">
        <v>420</v>
      </c>
      <c r="C264" s="114"/>
      <c r="D264" s="114"/>
      <c r="E264" s="114"/>
      <c r="F264" s="114"/>
      <c r="G264" s="121"/>
      <c r="H264" s="117">
        <f t="shared" si="16"/>
        <v>0</v>
      </c>
      <c r="I264" s="124"/>
      <c r="J264" s="124"/>
      <c r="K264" s="112"/>
      <c r="L264" s="112"/>
      <c r="M264" s="112"/>
      <c r="N264" s="112"/>
    </row>
    <row r="265" spans="1:14" s="151" customFormat="1" ht="28.5" customHeight="1">
      <c r="A265" s="135" t="s">
        <v>337</v>
      </c>
      <c r="B265" s="114">
        <v>500</v>
      </c>
      <c r="C265" s="114" t="s">
        <v>10</v>
      </c>
      <c r="D265" s="114"/>
      <c r="E265" s="114"/>
      <c r="F265" s="114" t="s">
        <v>10</v>
      </c>
      <c r="G265" s="121"/>
      <c r="H265" s="117">
        <f>I265+J265+K265+L265+M265+N265</f>
        <v>10467996.099999998</v>
      </c>
      <c r="I265" s="124">
        <f>I275+I276+I273+I274</f>
        <v>4563145.55</v>
      </c>
      <c r="J265" s="124">
        <f>SUM(J266:J284)</f>
        <v>685308.35</v>
      </c>
      <c r="K265" s="124">
        <f>K266+K275</f>
        <v>0</v>
      </c>
      <c r="L265" s="124">
        <f>L266+L275</f>
        <v>0</v>
      </c>
      <c r="M265" s="124">
        <f>SUM(M266:M278)</f>
        <v>5219542.199999999</v>
      </c>
      <c r="N265" s="124">
        <f>N266+N275</f>
        <v>0</v>
      </c>
    </row>
    <row r="266" spans="1:14" s="151" customFormat="1" ht="18" customHeight="1">
      <c r="A266" s="135" t="s">
        <v>59</v>
      </c>
      <c r="B266" s="114"/>
      <c r="C266" s="114">
        <v>121</v>
      </c>
      <c r="D266" s="115" t="s">
        <v>521</v>
      </c>
      <c r="E266" s="114"/>
      <c r="F266" s="114">
        <v>121</v>
      </c>
      <c r="G266" s="116" t="s">
        <v>363</v>
      </c>
      <c r="H266" s="117">
        <f t="shared" si="16"/>
        <v>1051898.98</v>
      </c>
      <c r="I266" s="152">
        <v>0</v>
      </c>
      <c r="J266" s="124"/>
      <c r="K266" s="112"/>
      <c r="L266" s="112"/>
      <c r="M266" s="112">
        <f>1051898.98</f>
        <v>1051898.98</v>
      </c>
      <c r="N266" s="112"/>
    </row>
    <row r="267" spans="1:14" s="151" customFormat="1" ht="18" customHeight="1">
      <c r="A267" s="135" t="s">
        <v>59</v>
      </c>
      <c r="B267" s="114"/>
      <c r="C267" s="114">
        <v>124</v>
      </c>
      <c r="D267" s="115" t="s">
        <v>521</v>
      </c>
      <c r="E267" s="114"/>
      <c r="F267" s="114">
        <v>124</v>
      </c>
      <c r="G267" s="116" t="s">
        <v>363</v>
      </c>
      <c r="H267" s="117">
        <f t="shared" si="16"/>
        <v>122859.79</v>
      </c>
      <c r="I267" s="152">
        <v>0</v>
      </c>
      <c r="J267" s="124"/>
      <c r="K267" s="112"/>
      <c r="L267" s="112"/>
      <c r="M267" s="112">
        <v>122859.79</v>
      </c>
      <c r="N267" s="112"/>
    </row>
    <row r="268" spans="1:14" s="151" customFormat="1" ht="18" customHeight="1">
      <c r="A268" s="135" t="s">
        <v>59</v>
      </c>
      <c r="B268" s="114"/>
      <c r="C268" s="114">
        <v>131</v>
      </c>
      <c r="D268" s="115" t="s">
        <v>521</v>
      </c>
      <c r="E268" s="114"/>
      <c r="F268" s="114">
        <v>131</v>
      </c>
      <c r="G268" s="116" t="s">
        <v>363</v>
      </c>
      <c r="H268" s="117">
        <f t="shared" si="16"/>
        <v>3930210.26</v>
      </c>
      <c r="I268" s="152">
        <v>0</v>
      </c>
      <c r="J268" s="124"/>
      <c r="K268" s="112"/>
      <c r="L268" s="112"/>
      <c r="M268" s="112">
        <f>3071859.19+32320.45+72402.32+10160+743468.3</f>
        <v>3930210.26</v>
      </c>
      <c r="N268" s="112"/>
    </row>
    <row r="269" spans="1:14" s="151" customFormat="1" ht="18" customHeight="1">
      <c r="A269" s="135" t="s">
        <v>59</v>
      </c>
      <c r="B269" s="114"/>
      <c r="C269" s="114">
        <v>135</v>
      </c>
      <c r="D269" s="115" t="s">
        <v>521</v>
      </c>
      <c r="E269" s="114"/>
      <c r="F269" s="114">
        <v>135</v>
      </c>
      <c r="G269" s="116" t="s">
        <v>363</v>
      </c>
      <c r="H269" s="117">
        <f aca="true" t="shared" si="17" ref="H269:H274">I269+J269+K269+L269+M269+N269</f>
        <v>99469.92</v>
      </c>
      <c r="I269" s="152">
        <v>0</v>
      </c>
      <c r="J269" s="124"/>
      <c r="K269" s="112"/>
      <c r="L269" s="112"/>
      <c r="M269" s="112">
        <v>99469.92</v>
      </c>
      <c r="N269" s="112"/>
    </row>
    <row r="270" spans="1:14" s="151" customFormat="1" ht="18" customHeight="1">
      <c r="A270" s="135" t="s">
        <v>59</v>
      </c>
      <c r="B270" s="114"/>
      <c r="C270" s="114">
        <v>155</v>
      </c>
      <c r="D270" s="115" t="s">
        <v>521</v>
      </c>
      <c r="E270" s="114"/>
      <c r="F270" s="114">
        <v>155</v>
      </c>
      <c r="G270" s="116" t="s">
        <v>363</v>
      </c>
      <c r="H270" s="117">
        <f t="shared" si="17"/>
        <v>15103.25</v>
      </c>
      <c r="I270" s="152">
        <v>0</v>
      </c>
      <c r="J270" s="124"/>
      <c r="K270" s="112"/>
      <c r="L270" s="112"/>
      <c r="M270" s="112">
        <f>103.25+15000</f>
        <v>15103.25</v>
      </c>
      <c r="N270" s="112"/>
    </row>
    <row r="271" spans="1:14" s="151" customFormat="1" ht="18" customHeight="1" hidden="1">
      <c r="A271" s="135" t="s">
        <v>59</v>
      </c>
      <c r="B271" s="486"/>
      <c r="C271" s="488">
        <v>131</v>
      </c>
      <c r="D271" s="497" t="s">
        <v>521</v>
      </c>
      <c r="E271" s="488"/>
      <c r="F271" s="488">
        <v>131</v>
      </c>
      <c r="G271" s="491" t="s">
        <v>363</v>
      </c>
      <c r="H271" s="490">
        <f t="shared" si="17"/>
        <v>0</v>
      </c>
      <c r="I271" s="495">
        <v>0</v>
      </c>
      <c r="J271" s="484">
        <v>0</v>
      </c>
      <c r="K271" s="498">
        <v>0</v>
      </c>
      <c r="L271" s="498">
        <v>0</v>
      </c>
      <c r="M271" s="496"/>
      <c r="N271" s="112"/>
    </row>
    <row r="272" spans="1:14" s="151" customFormat="1" ht="18" customHeight="1" hidden="1">
      <c r="A272" s="135" t="s">
        <v>59</v>
      </c>
      <c r="B272" s="486"/>
      <c r="C272" s="488">
        <v>155</v>
      </c>
      <c r="D272" s="497" t="s">
        <v>521</v>
      </c>
      <c r="E272" s="488"/>
      <c r="F272" s="488">
        <v>155</v>
      </c>
      <c r="G272" s="491" t="s">
        <v>363</v>
      </c>
      <c r="H272" s="490">
        <f t="shared" si="17"/>
        <v>0</v>
      </c>
      <c r="I272" s="495">
        <v>0</v>
      </c>
      <c r="J272" s="484">
        <v>0</v>
      </c>
      <c r="K272" s="498">
        <v>0</v>
      </c>
      <c r="L272" s="498"/>
      <c r="M272" s="496"/>
      <c r="N272" s="112"/>
    </row>
    <row r="273" spans="1:14" s="151" customFormat="1" ht="18" customHeight="1">
      <c r="A273" s="135" t="s">
        <v>59</v>
      </c>
      <c r="B273" s="486"/>
      <c r="C273" s="488">
        <v>131</v>
      </c>
      <c r="D273" s="487" t="s">
        <v>522</v>
      </c>
      <c r="E273" s="488"/>
      <c r="F273" s="488">
        <v>131</v>
      </c>
      <c r="G273" s="492" t="s">
        <v>525</v>
      </c>
      <c r="H273" s="490">
        <f t="shared" si="17"/>
        <v>1056346.27</v>
      </c>
      <c r="I273" s="496">
        <v>1056346.27</v>
      </c>
      <c r="J273" s="124"/>
      <c r="K273" s="112"/>
      <c r="L273" s="112"/>
      <c r="M273" s="112"/>
      <c r="N273" s="112"/>
    </row>
    <row r="274" spans="1:14" s="151" customFormat="1" ht="18" customHeight="1" hidden="1">
      <c r="A274" s="135" t="s">
        <v>59</v>
      </c>
      <c r="B274" s="486"/>
      <c r="C274" s="488">
        <v>131</v>
      </c>
      <c r="D274" s="487" t="s">
        <v>522</v>
      </c>
      <c r="E274" s="488"/>
      <c r="F274" s="488">
        <v>131</v>
      </c>
      <c r="G274" s="492" t="s">
        <v>523</v>
      </c>
      <c r="H274" s="490">
        <f t="shared" si="17"/>
        <v>0</v>
      </c>
      <c r="I274" s="496"/>
      <c r="J274" s="124"/>
      <c r="K274" s="112"/>
      <c r="L274" s="112"/>
      <c r="M274" s="112"/>
      <c r="N274" s="112"/>
    </row>
    <row r="275" spans="1:14" s="151" customFormat="1" ht="18" customHeight="1">
      <c r="A275" s="135" t="s">
        <v>59</v>
      </c>
      <c r="B275" s="114"/>
      <c r="C275" s="114">
        <v>131</v>
      </c>
      <c r="D275" s="115" t="s">
        <v>522</v>
      </c>
      <c r="E275" s="114"/>
      <c r="F275" s="114">
        <v>152</v>
      </c>
      <c r="G275" s="101" t="s">
        <v>526</v>
      </c>
      <c r="H275" s="117">
        <f t="shared" si="16"/>
        <v>2843953.2199999997</v>
      </c>
      <c r="I275" s="152">
        <f>2502598.75+341354.47</f>
        <v>2843953.2199999997</v>
      </c>
      <c r="J275" s="124"/>
      <c r="K275" s="112"/>
      <c r="L275" s="112"/>
      <c r="M275" s="112"/>
      <c r="N275" s="112"/>
    </row>
    <row r="276" spans="1:14" s="151" customFormat="1" ht="18" customHeight="1">
      <c r="A276" s="135" t="s">
        <v>59</v>
      </c>
      <c r="B276" s="114"/>
      <c r="C276" s="114">
        <v>131</v>
      </c>
      <c r="D276" s="115" t="s">
        <v>522</v>
      </c>
      <c r="E276" s="114"/>
      <c r="F276" s="114">
        <v>121</v>
      </c>
      <c r="G276" s="101" t="s">
        <v>527</v>
      </c>
      <c r="H276" s="117">
        <f t="shared" si="16"/>
        <v>662846.0599999999</v>
      </c>
      <c r="I276" s="152">
        <f>662558.44+287.62</f>
        <v>662846.0599999999</v>
      </c>
      <c r="J276" s="124"/>
      <c r="K276" s="112"/>
      <c r="L276" s="112"/>
      <c r="M276" s="112"/>
      <c r="N276" s="112"/>
    </row>
    <row r="277" spans="1:14" s="151" customFormat="1" ht="18" customHeight="1">
      <c r="A277" s="135" t="s">
        <v>59</v>
      </c>
      <c r="B277" s="114"/>
      <c r="C277" s="114">
        <v>152</v>
      </c>
      <c r="D277" s="115" t="s">
        <v>755</v>
      </c>
      <c r="E277" s="114"/>
      <c r="F277" s="114">
        <v>152</v>
      </c>
      <c r="G277" s="101" t="s">
        <v>526</v>
      </c>
      <c r="H277" s="117">
        <f t="shared" si="16"/>
        <v>501964.05000000005</v>
      </c>
      <c r="I277" s="152">
        <v>0</v>
      </c>
      <c r="J277" s="124">
        <f>409277.65+92686.4</f>
        <v>501964.05000000005</v>
      </c>
      <c r="K277" s="112"/>
      <c r="L277" s="112"/>
      <c r="M277" s="112"/>
      <c r="N277" s="112"/>
    </row>
    <row r="278" spans="1:14" s="151" customFormat="1" ht="18" customHeight="1">
      <c r="A278" s="135" t="s">
        <v>59</v>
      </c>
      <c r="B278" s="114"/>
      <c r="C278" s="114">
        <v>152</v>
      </c>
      <c r="D278" s="115" t="s">
        <v>756</v>
      </c>
      <c r="E278" s="114"/>
      <c r="F278" s="114">
        <v>152</v>
      </c>
      <c r="G278" s="101" t="s">
        <v>526</v>
      </c>
      <c r="H278" s="117">
        <f t="shared" si="16"/>
        <v>37449.32</v>
      </c>
      <c r="I278" s="152">
        <v>0</v>
      </c>
      <c r="J278" s="124">
        <f>36183.22+1266.1</f>
        <v>37449.32</v>
      </c>
      <c r="K278" s="112"/>
      <c r="L278" s="112"/>
      <c r="M278" s="112"/>
      <c r="N278" s="112"/>
    </row>
    <row r="279" spans="1:14" s="151" customFormat="1" ht="18" customHeight="1">
      <c r="A279" s="135" t="s">
        <v>59</v>
      </c>
      <c r="B279" s="114"/>
      <c r="C279" s="114">
        <v>152</v>
      </c>
      <c r="D279" s="115" t="s">
        <v>757</v>
      </c>
      <c r="E279" s="114"/>
      <c r="F279" s="114">
        <v>152</v>
      </c>
      <c r="G279" s="101" t="s">
        <v>526</v>
      </c>
      <c r="H279" s="117">
        <f>I279+J279+K279+L279+M279+N279</f>
        <v>91829.08</v>
      </c>
      <c r="I279" s="152">
        <v>0</v>
      </c>
      <c r="J279" s="124">
        <f>40124.4+51704.68</f>
        <v>91829.08</v>
      </c>
      <c r="K279" s="112"/>
      <c r="L279" s="112"/>
      <c r="M279" s="112"/>
      <c r="N279" s="112"/>
    </row>
    <row r="280" spans="1:14" s="151" customFormat="1" ht="18" customHeight="1">
      <c r="A280" s="135" t="s">
        <v>59</v>
      </c>
      <c r="B280" s="114"/>
      <c r="C280" s="114">
        <v>152</v>
      </c>
      <c r="D280" s="115" t="s">
        <v>758</v>
      </c>
      <c r="E280" s="114"/>
      <c r="F280" s="114">
        <v>152</v>
      </c>
      <c r="G280" s="101" t="s">
        <v>526</v>
      </c>
      <c r="H280" s="117">
        <f t="shared" si="16"/>
        <v>53116.98</v>
      </c>
      <c r="I280" s="152">
        <v>0</v>
      </c>
      <c r="J280" s="124">
        <v>53116.98</v>
      </c>
      <c r="K280" s="112"/>
      <c r="L280" s="112"/>
      <c r="M280" s="112"/>
      <c r="N280" s="112"/>
    </row>
    <row r="281" spans="1:14" s="151" customFormat="1" ht="18" customHeight="1" hidden="1">
      <c r="A281" s="135" t="s">
        <v>59</v>
      </c>
      <c r="B281" s="486"/>
      <c r="C281" s="488">
        <v>152</v>
      </c>
      <c r="D281" s="488">
        <v>901480000</v>
      </c>
      <c r="E281" s="488"/>
      <c r="F281" s="488">
        <v>152</v>
      </c>
      <c r="G281" s="491" t="s">
        <v>526</v>
      </c>
      <c r="H281" s="490">
        <f t="shared" si="16"/>
        <v>0</v>
      </c>
      <c r="I281" s="495">
        <v>0</v>
      </c>
      <c r="J281" s="485"/>
      <c r="K281" s="112"/>
      <c r="L281" s="112"/>
      <c r="M281" s="112"/>
      <c r="N281" s="112"/>
    </row>
    <row r="282" spans="1:14" s="151" customFormat="1" ht="18" customHeight="1" hidden="1">
      <c r="A282" s="135" t="s">
        <v>59</v>
      </c>
      <c r="B282" s="486"/>
      <c r="C282" s="488">
        <v>152</v>
      </c>
      <c r="D282" s="497" t="s">
        <v>756</v>
      </c>
      <c r="E282" s="488"/>
      <c r="F282" s="488">
        <v>152</v>
      </c>
      <c r="G282" s="491" t="s">
        <v>526</v>
      </c>
      <c r="H282" s="490">
        <f t="shared" si="16"/>
        <v>0</v>
      </c>
      <c r="I282" s="495">
        <v>0</v>
      </c>
      <c r="J282" s="485"/>
      <c r="K282" s="112"/>
      <c r="L282" s="112"/>
      <c r="M282" s="112"/>
      <c r="N282" s="112"/>
    </row>
    <row r="283" spans="1:14" s="151" customFormat="1" ht="18" customHeight="1" hidden="1">
      <c r="A283" s="135" t="s">
        <v>59</v>
      </c>
      <c r="B283" s="486"/>
      <c r="C283" s="488">
        <v>152</v>
      </c>
      <c r="D283" s="497" t="s">
        <v>757</v>
      </c>
      <c r="E283" s="488"/>
      <c r="F283" s="488">
        <v>152</v>
      </c>
      <c r="G283" s="491" t="s">
        <v>526</v>
      </c>
      <c r="H283" s="490">
        <f t="shared" si="16"/>
        <v>0</v>
      </c>
      <c r="I283" s="495">
        <v>0</v>
      </c>
      <c r="J283" s="485"/>
      <c r="K283" s="112"/>
      <c r="L283" s="112"/>
      <c r="M283" s="112"/>
      <c r="N283" s="112"/>
    </row>
    <row r="284" spans="1:14" s="151" customFormat="1" ht="18" customHeight="1">
      <c r="A284" s="135" t="s">
        <v>59</v>
      </c>
      <c r="B284" s="486"/>
      <c r="C284" s="488">
        <v>152</v>
      </c>
      <c r="D284" s="497" t="s">
        <v>830</v>
      </c>
      <c r="E284" s="488"/>
      <c r="F284" s="488">
        <v>152</v>
      </c>
      <c r="G284" s="491" t="s">
        <v>526</v>
      </c>
      <c r="H284" s="490">
        <f t="shared" si="16"/>
        <v>948.92</v>
      </c>
      <c r="I284" s="495">
        <v>0</v>
      </c>
      <c r="J284" s="484">
        <v>948.92</v>
      </c>
      <c r="K284" s="112"/>
      <c r="L284" s="112"/>
      <c r="M284" s="112"/>
      <c r="N284" s="112"/>
    </row>
    <row r="285" spans="1:14" s="151" customFormat="1" ht="18" customHeight="1">
      <c r="A285" s="135" t="s">
        <v>60</v>
      </c>
      <c r="B285" s="114">
        <v>600</v>
      </c>
      <c r="C285" s="114" t="s">
        <v>10</v>
      </c>
      <c r="D285" s="114"/>
      <c r="E285" s="114"/>
      <c r="F285" s="114" t="s">
        <v>10</v>
      </c>
      <c r="G285" s="121"/>
      <c r="H285" s="153">
        <f t="shared" si="16"/>
        <v>0</v>
      </c>
      <c r="I285" s="154">
        <f>I265+I11-I93</f>
        <v>0</v>
      </c>
      <c r="J285" s="505">
        <f>J265+J11-J93</f>
        <v>0</v>
      </c>
      <c r="K285" s="154">
        <f>K265+K11-K93</f>
        <v>0</v>
      </c>
      <c r="L285" s="154">
        <f>L265+L11-L93</f>
        <v>0</v>
      </c>
      <c r="M285" s="154">
        <f>M265+M11-M93</f>
        <v>0</v>
      </c>
      <c r="N285" s="119"/>
    </row>
    <row r="286" spans="1:14" ht="22.5">
      <c r="A286" s="37"/>
      <c r="B286" s="20"/>
      <c r="C286" s="20"/>
      <c r="D286" s="20"/>
      <c r="E286" s="20"/>
      <c r="F286" s="20"/>
      <c r="G286" s="20"/>
      <c r="H286" s="20"/>
      <c r="I286" s="27" t="s">
        <v>754</v>
      </c>
      <c r="J286" s="20"/>
      <c r="K286" s="20"/>
      <c r="L286" s="20"/>
      <c r="M286" s="20"/>
      <c r="N286" s="21" t="s">
        <v>77</v>
      </c>
    </row>
    <row r="287" spans="1:14" ht="14.25" customHeight="1">
      <c r="A287" s="37"/>
      <c r="B287" s="20"/>
      <c r="C287" s="20"/>
      <c r="D287" s="20"/>
      <c r="E287" s="20"/>
      <c r="F287" s="20"/>
      <c r="G287" s="20"/>
      <c r="H287" s="622"/>
      <c r="I287" s="622"/>
      <c r="J287" s="622"/>
      <c r="K287" s="622"/>
      <c r="L287" s="20"/>
      <c r="M287" s="20"/>
      <c r="N287" s="20"/>
    </row>
    <row r="288" spans="1:14" ht="12.75" customHeight="1">
      <c r="A288" s="37"/>
      <c r="B288" s="20"/>
      <c r="C288" s="20"/>
      <c r="D288" s="20"/>
      <c r="E288" s="20"/>
      <c r="F288" s="20"/>
      <c r="G288" s="20"/>
      <c r="H288" s="605" t="s">
        <v>41</v>
      </c>
      <c r="I288" s="605"/>
      <c r="J288" s="605"/>
      <c r="K288" s="605"/>
      <c r="L288" s="20"/>
      <c r="M288" s="20"/>
      <c r="N288" s="20"/>
    </row>
    <row r="289" spans="1:14" ht="12.75" customHeight="1">
      <c r="A289" s="37"/>
      <c r="B289" s="20"/>
      <c r="C289" s="20"/>
      <c r="D289" s="20"/>
      <c r="E289" s="20"/>
      <c r="F289" s="20"/>
      <c r="G289" s="20"/>
      <c r="H289" s="606" t="s">
        <v>519</v>
      </c>
      <c r="I289" s="606"/>
      <c r="J289" s="606"/>
      <c r="K289" s="606"/>
      <c r="L289" s="20"/>
      <c r="M289" s="20"/>
      <c r="N289" s="20"/>
    </row>
    <row r="290" spans="1:14" ht="12.75" customHeight="1">
      <c r="A290" s="37"/>
      <c r="B290" s="20"/>
      <c r="C290" s="20"/>
      <c r="D290" s="20"/>
      <c r="E290" s="20"/>
      <c r="F290" s="20"/>
      <c r="G290" s="20"/>
      <c r="H290" s="21"/>
      <c r="I290" s="21"/>
      <c r="J290" s="21"/>
      <c r="K290" s="21"/>
      <c r="L290" s="20"/>
      <c r="M290" s="20"/>
      <c r="N290" s="20"/>
    </row>
    <row r="291" spans="1:15" s="8" customFormat="1" ht="18" customHeight="1">
      <c r="A291" s="613" t="s">
        <v>1</v>
      </c>
      <c r="B291" s="603" t="s">
        <v>45</v>
      </c>
      <c r="C291" s="627" t="s">
        <v>397</v>
      </c>
      <c r="D291" s="616" t="s">
        <v>163</v>
      </c>
      <c r="E291" s="610" t="s">
        <v>164</v>
      </c>
      <c r="F291" s="603" t="s">
        <v>165</v>
      </c>
      <c r="G291" s="619" t="s">
        <v>338</v>
      </c>
      <c r="H291" s="607" t="s">
        <v>38</v>
      </c>
      <c r="I291" s="608"/>
      <c r="J291" s="608"/>
      <c r="K291" s="608"/>
      <c r="L291" s="608"/>
      <c r="M291" s="608"/>
      <c r="N291" s="609"/>
      <c r="O291" s="63"/>
    </row>
    <row r="292" spans="1:15" s="8" customFormat="1" ht="16.5" customHeight="1">
      <c r="A292" s="614"/>
      <c r="B292" s="603"/>
      <c r="C292" s="628"/>
      <c r="D292" s="617"/>
      <c r="E292" s="604"/>
      <c r="F292" s="603"/>
      <c r="G292" s="620"/>
      <c r="H292" s="610" t="s">
        <v>33</v>
      </c>
      <c r="I292" s="603" t="s">
        <v>4</v>
      </c>
      <c r="J292" s="603"/>
      <c r="K292" s="603"/>
      <c r="L292" s="603"/>
      <c r="M292" s="603"/>
      <c r="N292" s="603"/>
      <c r="O292" s="63"/>
    </row>
    <row r="293" spans="1:15" s="8" customFormat="1" ht="68.25" customHeight="1">
      <c r="A293" s="614"/>
      <c r="B293" s="603"/>
      <c r="C293" s="628"/>
      <c r="D293" s="617"/>
      <c r="E293" s="604"/>
      <c r="F293" s="603"/>
      <c r="G293" s="620"/>
      <c r="H293" s="604"/>
      <c r="I293" s="611" t="s">
        <v>398</v>
      </c>
      <c r="J293" s="623" t="s">
        <v>166</v>
      </c>
      <c r="K293" s="602" t="s">
        <v>34</v>
      </c>
      <c r="L293" s="604" t="s">
        <v>35</v>
      </c>
      <c r="M293" s="602" t="s">
        <v>50</v>
      </c>
      <c r="N293" s="602"/>
      <c r="O293" s="63"/>
    </row>
    <row r="294" spans="1:15" s="8" customFormat="1" ht="30.75" customHeight="1">
      <c r="A294" s="615"/>
      <c r="B294" s="603"/>
      <c r="C294" s="629"/>
      <c r="D294" s="618"/>
      <c r="E294" s="602"/>
      <c r="F294" s="603"/>
      <c r="G294" s="621"/>
      <c r="H294" s="602"/>
      <c r="I294" s="612"/>
      <c r="J294" s="624"/>
      <c r="K294" s="603"/>
      <c r="L294" s="602"/>
      <c r="M294" s="41" t="s">
        <v>36</v>
      </c>
      <c r="N294" s="41" t="s">
        <v>37</v>
      </c>
      <c r="O294" s="63"/>
    </row>
    <row r="295" spans="1:15" s="9" customFormat="1" ht="12">
      <c r="A295" s="23">
        <v>2</v>
      </c>
      <c r="B295" s="23">
        <v>3</v>
      </c>
      <c r="C295" s="23"/>
      <c r="D295" s="23">
        <v>4</v>
      </c>
      <c r="E295" s="23">
        <v>5</v>
      </c>
      <c r="F295" s="23">
        <v>6</v>
      </c>
      <c r="G295" s="23">
        <v>7</v>
      </c>
      <c r="H295" s="16">
        <v>8</v>
      </c>
      <c r="I295" s="16">
        <v>9</v>
      </c>
      <c r="J295" s="16">
        <v>10</v>
      </c>
      <c r="K295" s="16">
        <v>11</v>
      </c>
      <c r="L295" s="16">
        <v>12</v>
      </c>
      <c r="M295" s="16">
        <v>13</v>
      </c>
      <c r="N295" s="16">
        <v>14</v>
      </c>
      <c r="O295" s="64"/>
    </row>
    <row r="296" spans="1:14" s="106" customFormat="1" ht="12.75">
      <c r="A296" s="102" t="s">
        <v>43</v>
      </c>
      <c r="B296" s="103">
        <v>100</v>
      </c>
      <c r="C296" s="103"/>
      <c r="D296" s="103"/>
      <c r="E296" s="103"/>
      <c r="F296" s="103" t="s">
        <v>10</v>
      </c>
      <c r="G296" s="104"/>
      <c r="H296" s="105">
        <f>H298+H302+H339</f>
        <v>63859916.53</v>
      </c>
      <c r="I296" s="105">
        <f>I302</f>
        <v>49432260.64</v>
      </c>
      <c r="J296" s="105">
        <f>J339</f>
        <v>902129.53</v>
      </c>
      <c r="K296" s="105">
        <f>K340</f>
        <v>0</v>
      </c>
      <c r="L296" s="105">
        <f>L302</f>
        <v>0</v>
      </c>
      <c r="M296" s="105">
        <f>M298+M302+M338+M349</f>
        <v>13525526.36</v>
      </c>
      <c r="N296" s="105">
        <f>N302+N349</f>
        <v>0</v>
      </c>
    </row>
    <row r="297" spans="1:14" s="106" customFormat="1" ht="12.75">
      <c r="A297" s="107" t="s">
        <v>3</v>
      </c>
      <c r="B297" s="108"/>
      <c r="C297" s="108"/>
      <c r="D297" s="108"/>
      <c r="E297" s="108"/>
      <c r="F297" s="108"/>
      <c r="G297" s="109"/>
      <c r="H297" s="110"/>
      <c r="I297" s="110"/>
      <c r="J297" s="110"/>
      <c r="K297" s="111"/>
      <c r="L297" s="111"/>
      <c r="M297" s="112"/>
      <c r="N297" s="111"/>
    </row>
    <row r="298" spans="1:14" s="120" customFormat="1" ht="17.25" customHeight="1">
      <c r="A298" s="113" t="s">
        <v>32</v>
      </c>
      <c r="B298" s="114">
        <v>110</v>
      </c>
      <c r="C298" s="114">
        <v>120</v>
      </c>
      <c r="D298" s="115" t="s">
        <v>521</v>
      </c>
      <c r="E298" s="114"/>
      <c r="F298" s="114">
        <v>120</v>
      </c>
      <c r="G298" s="116" t="s">
        <v>363</v>
      </c>
      <c r="H298" s="117">
        <f>M298</f>
        <v>750526.36</v>
      </c>
      <c r="I298" s="114" t="s">
        <v>74</v>
      </c>
      <c r="J298" s="114" t="s">
        <v>74</v>
      </c>
      <c r="K298" s="118" t="s">
        <v>10</v>
      </c>
      <c r="L298" s="118" t="s">
        <v>10</v>
      </c>
      <c r="M298" s="119">
        <f>M300+M301</f>
        <v>750526.36</v>
      </c>
      <c r="N298" s="118" t="s">
        <v>10</v>
      </c>
    </row>
    <row r="299" spans="1:14" s="120" customFormat="1" ht="12.75">
      <c r="A299" s="113" t="s">
        <v>364</v>
      </c>
      <c r="B299" s="114"/>
      <c r="C299" s="114"/>
      <c r="D299" s="115"/>
      <c r="E299" s="114"/>
      <c r="F299" s="114"/>
      <c r="G299" s="121"/>
      <c r="H299" s="117"/>
      <c r="I299" s="121"/>
      <c r="J299" s="114"/>
      <c r="K299" s="118"/>
      <c r="L299" s="122"/>
      <c r="M299" s="117"/>
      <c r="N299" s="122"/>
    </row>
    <row r="300" spans="1:14" s="120" customFormat="1" ht="14.25" customHeight="1">
      <c r="A300" s="113" t="s">
        <v>365</v>
      </c>
      <c r="B300" s="114"/>
      <c r="C300" s="114">
        <v>121</v>
      </c>
      <c r="D300" s="115" t="s">
        <v>521</v>
      </c>
      <c r="E300" s="114"/>
      <c r="F300" s="114">
        <v>121</v>
      </c>
      <c r="G300" s="116" t="s">
        <v>363</v>
      </c>
      <c r="H300" s="117">
        <f>SUM(I300:M300)</f>
        <v>700526.36</v>
      </c>
      <c r="I300" s="121"/>
      <c r="J300" s="114"/>
      <c r="K300" s="118"/>
      <c r="L300" s="122"/>
      <c r="M300" s="117">
        <v>700526.36</v>
      </c>
      <c r="N300" s="122"/>
    </row>
    <row r="301" spans="1:14" s="120" customFormat="1" ht="21" customHeight="1">
      <c r="A301" s="113" t="s">
        <v>366</v>
      </c>
      <c r="B301" s="114"/>
      <c r="C301" s="114">
        <v>124</v>
      </c>
      <c r="D301" s="115" t="s">
        <v>521</v>
      </c>
      <c r="E301" s="114"/>
      <c r="F301" s="114">
        <v>124</v>
      </c>
      <c r="G301" s="116" t="s">
        <v>363</v>
      </c>
      <c r="H301" s="117">
        <f>SUM(I301:M301)</f>
        <v>50000</v>
      </c>
      <c r="I301" s="121"/>
      <c r="J301" s="114"/>
      <c r="K301" s="118"/>
      <c r="L301" s="122"/>
      <c r="M301" s="117">
        <v>50000</v>
      </c>
      <c r="N301" s="122"/>
    </row>
    <row r="302" spans="1:14" s="120" customFormat="1" ht="23.25" customHeight="1">
      <c r="A302" s="113" t="s">
        <v>367</v>
      </c>
      <c r="B302" s="114">
        <v>120</v>
      </c>
      <c r="C302" s="114">
        <v>130</v>
      </c>
      <c r="D302" s="115" t="s">
        <v>521</v>
      </c>
      <c r="E302" s="114"/>
      <c r="F302" s="114">
        <v>130</v>
      </c>
      <c r="G302" s="121"/>
      <c r="H302" s="117">
        <f>I302+L302+M302+N302</f>
        <v>62207260.64</v>
      </c>
      <c r="I302" s="117">
        <f>SUM(I303:I328)</f>
        <v>49432260.64</v>
      </c>
      <c r="J302" s="114" t="s">
        <v>74</v>
      </c>
      <c r="K302" s="114" t="s">
        <v>74</v>
      </c>
      <c r="L302" s="117">
        <f>L303+L305+L307+L310+L312+L314+L315+L316+L317+L318+L319+L320+L321+L322+L324+L326+L327+L328</f>
        <v>0</v>
      </c>
      <c r="M302" s="117">
        <f>M303+M305+M307+M310+M312+M314+M315+M316+M317+M318+M319+M320+M321+M322+M324+M326+M327+M328+M306+M329+M330</f>
        <v>12775000</v>
      </c>
      <c r="N302" s="117">
        <f>N303+N305+N307+N310+N312+N314+N315+N316+N317+N318+N319+N320+N321</f>
        <v>0</v>
      </c>
    </row>
    <row r="303" spans="1:14" s="106" customFormat="1" ht="27.75" customHeight="1">
      <c r="A303" s="123" t="s">
        <v>342</v>
      </c>
      <c r="B303" s="488"/>
      <c r="C303" s="488">
        <v>131</v>
      </c>
      <c r="D303" s="488">
        <v>800000000</v>
      </c>
      <c r="E303" s="488"/>
      <c r="F303" s="488">
        <v>131</v>
      </c>
      <c r="G303" s="489" t="s">
        <v>525</v>
      </c>
      <c r="H303" s="484">
        <f>I303+J303+K303+L303+M303</f>
        <v>10758335.66</v>
      </c>
      <c r="I303" s="485">
        <v>10758335.66</v>
      </c>
      <c r="J303" s="124">
        <v>0</v>
      </c>
      <c r="K303" s="111"/>
      <c r="L303" s="110"/>
      <c r="M303" s="124">
        <v>0</v>
      </c>
      <c r="N303" s="124"/>
    </row>
    <row r="304" spans="1:14" s="106" customFormat="1" ht="12" customHeight="1">
      <c r="A304" s="123" t="s">
        <v>356</v>
      </c>
      <c r="B304" s="488"/>
      <c r="C304" s="488">
        <v>131</v>
      </c>
      <c r="D304" s="488">
        <v>800000000</v>
      </c>
      <c r="E304" s="488"/>
      <c r="F304" s="488">
        <v>131</v>
      </c>
      <c r="G304" s="492" t="s">
        <v>524</v>
      </c>
      <c r="H304" s="484">
        <f>I304+J304+K304+L304+M304</f>
        <v>983705.2</v>
      </c>
      <c r="I304" s="485">
        <v>983705.2</v>
      </c>
      <c r="J304" s="124">
        <v>0</v>
      </c>
      <c r="K304" s="111"/>
      <c r="L304" s="110"/>
      <c r="M304" s="124">
        <v>0</v>
      </c>
      <c r="N304" s="124"/>
    </row>
    <row r="305" spans="1:14" s="106" customFormat="1" ht="12" customHeight="1">
      <c r="A305" s="113" t="s">
        <v>343</v>
      </c>
      <c r="B305" s="488"/>
      <c r="C305" s="488">
        <v>131</v>
      </c>
      <c r="D305" s="488">
        <v>800000000</v>
      </c>
      <c r="E305" s="488"/>
      <c r="F305" s="488">
        <v>131</v>
      </c>
      <c r="G305" s="492" t="s">
        <v>524</v>
      </c>
      <c r="H305" s="484">
        <f>I305+J305+K305+L305+M305</f>
        <v>1540928.86</v>
      </c>
      <c r="I305" s="485">
        <v>1540928.86</v>
      </c>
      <c r="J305" s="124">
        <v>0</v>
      </c>
      <c r="K305" s="111"/>
      <c r="L305" s="110"/>
      <c r="M305" s="124">
        <v>0</v>
      </c>
      <c r="N305" s="124"/>
    </row>
    <row r="306" spans="1:14" s="120" customFormat="1" ht="12" customHeight="1">
      <c r="A306" s="113" t="s">
        <v>343</v>
      </c>
      <c r="B306" s="114"/>
      <c r="C306" s="114">
        <v>131</v>
      </c>
      <c r="D306" s="115" t="s">
        <v>521</v>
      </c>
      <c r="E306" s="114"/>
      <c r="F306" s="114">
        <v>131</v>
      </c>
      <c r="G306" s="116" t="s">
        <v>363</v>
      </c>
      <c r="H306" s="117">
        <f aca="true" t="shared" si="18" ref="H306:H326">I306+J306+K306+L306+M306</f>
        <v>2710000</v>
      </c>
      <c r="I306" s="117">
        <v>0</v>
      </c>
      <c r="J306" s="117">
        <v>0</v>
      </c>
      <c r="K306" s="118"/>
      <c r="L306" s="122"/>
      <c r="M306" s="158">
        <v>2710000</v>
      </c>
      <c r="N306" s="117"/>
    </row>
    <row r="307" spans="1:14" s="106" customFormat="1" ht="26.25" customHeight="1">
      <c r="A307" s="107" t="s">
        <v>344</v>
      </c>
      <c r="B307" s="108"/>
      <c r="C307" s="108">
        <v>131</v>
      </c>
      <c r="D307" s="114">
        <v>800000000</v>
      </c>
      <c r="E307" s="108"/>
      <c r="F307" s="108">
        <v>131</v>
      </c>
      <c r="G307" s="101" t="s">
        <v>526</v>
      </c>
      <c r="H307" s="124">
        <f t="shared" si="18"/>
        <v>11457505.6</v>
      </c>
      <c r="I307" s="124">
        <f>292941+8670581.7+2493982.9</f>
        <v>11457505.6</v>
      </c>
      <c r="J307" s="124"/>
      <c r="K307" s="111"/>
      <c r="L307" s="110"/>
      <c r="M307" s="124"/>
      <c r="N307" s="124"/>
    </row>
    <row r="308" spans="1:14" s="106" customFormat="1" ht="26.25" customHeight="1">
      <c r="A308" s="107" t="s">
        <v>344</v>
      </c>
      <c r="B308" s="108"/>
      <c r="C308" s="108">
        <v>131</v>
      </c>
      <c r="D308" s="114">
        <v>800000000</v>
      </c>
      <c r="E308" s="108"/>
      <c r="F308" s="108">
        <v>131</v>
      </c>
      <c r="G308" s="101" t="s">
        <v>527</v>
      </c>
      <c r="H308" s="124">
        <f t="shared" si="18"/>
        <v>1712009.64</v>
      </c>
      <c r="I308" s="124">
        <f>1712009.64</f>
        <v>1712009.64</v>
      </c>
      <c r="J308" s="124"/>
      <c r="K308" s="111"/>
      <c r="L308" s="110"/>
      <c r="M308" s="124"/>
      <c r="N308" s="124"/>
    </row>
    <row r="309" spans="1:14" s="106" customFormat="1" ht="26.25" customHeight="1" hidden="1">
      <c r="A309" s="517" t="s">
        <v>344</v>
      </c>
      <c r="B309" s="500"/>
      <c r="C309" s="500">
        <v>131</v>
      </c>
      <c r="D309" s="488">
        <v>800000000</v>
      </c>
      <c r="E309" s="500"/>
      <c r="F309" s="500">
        <v>131</v>
      </c>
      <c r="G309" s="489" t="s">
        <v>526</v>
      </c>
      <c r="H309" s="484">
        <f t="shared" si="18"/>
        <v>0</v>
      </c>
      <c r="I309" s="485"/>
      <c r="J309" s="124"/>
      <c r="K309" s="111"/>
      <c r="L309" s="110"/>
      <c r="M309" s="124"/>
      <c r="N309" s="124"/>
    </row>
    <row r="310" spans="1:14" s="106" customFormat="1" ht="26.25" customHeight="1">
      <c r="A310" s="107" t="s">
        <v>345</v>
      </c>
      <c r="B310" s="108"/>
      <c r="C310" s="108">
        <v>131</v>
      </c>
      <c r="D310" s="114">
        <v>800000000</v>
      </c>
      <c r="E310" s="108"/>
      <c r="F310" s="108">
        <v>131</v>
      </c>
      <c r="G310" s="101" t="s">
        <v>526</v>
      </c>
      <c r="H310" s="124">
        <f t="shared" si="18"/>
        <v>11162689.2</v>
      </c>
      <c r="I310" s="124">
        <f>360180+10802509.2</f>
        <v>11162689.2</v>
      </c>
      <c r="J310" s="124"/>
      <c r="K310" s="111"/>
      <c r="L310" s="110"/>
      <c r="M310" s="124"/>
      <c r="N310" s="124"/>
    </row>
    <row r="311" spans="1:14" s="106" customFormat="1" ht="27.75" customHeight="1">
      <c r="A311" s="107" t="s">
        <v>345</v>
      </c>
      <c r="B311" s="108"/>
      <c r="C311" s="108">
        <v>131</v>
      </c>
      <c r="D311" s="114">
        <v>800000000</v>
      </c>
      <c r="E311" s="108"/>
      <c r="F311" s="108">
        <v>131</v>
      </c>
      <c r="G311" s="101" t="s">
        <v>527</v>
      </c>
      <c r="H311" s="124">
        <f t="shared" si="18"/>
        <v>1644933.36</v>
      </c>
      <c r="I311" s="124">
        <f>1644933.36</f>
        <v>1644933.36</v>
      </c>
      <c r="J311" s="124"/>
      <c r="K311" s="111"/>
      <c r="L311" s="110"/>
      <c r="M311" s="124"/>
      <c r="N311" s="124"/>
    </row>
    <row r="312" spans="1:14" s="106" customFormat="1" ht="26.25" customHeight="1">
      <c r="A312" s="107" t="s">
        <v>346</v>
      </c>
      <c r="B312" s="108"/>
      <c r="C312" s="108">
        <v>131</v>
      </c>
      <c r="D312" s="114">
        <v>800000000</v>
      </c>
      <c r="E312" s="108"/>
      <c r="F312" s="108">
        <v>131</v>
      </c>
      <c r="G312" s="101" t="s">
        <v>526</v>
      </c>
      <c r="H312" s="124">
        <f t="shared" si="18"/>
        <v>3986028.2</v>
      </c>
      <c r="I312" s="124">
        <f>122248+3863780.2</f>
        <v>3986028.2</v>
      </c>
      <c r="J312" s="124"/>
      <c r="K312" s="111"/>
      <c r="L312" s="110"/>
      <c r="M312" s="124"/>
      <c r="N312" s="124"/>
    </row>
    <row r="313" spans="1:14" s="106" customFormat="1" ht="26.25" customHeight="1">
      <c r="A313" s="107" t="s">
        <v>346</v>
      </c>
      <c r="B313" s="108"/>
      <c r="C313" s="108">
        <v>131</v>
      </c>
      <c r="D313" s="114">
        <v>800000000</v>
      </c>
      <c r="E313" s="108"/>
      <c r="F313" s="108">
        <v>131</v>
      </c>
      <c r="G313" s="101" t="s">
        <v>527</v>
      </c>
      <c r="H313" s="124">
        <f t="shared" si="18"/>
        <v>1031767.92</v>
      </c>
      <c r="I313" s="124">
        <f>555423.64+476344.28</f>
        <v>1031767.92</v>
      </c>
      <c r="J313" s="124"/>
      <c r="K313" s="111"/>
      <c r="L313" s="110"/>
      <c r="M313" s="124"/>
      <c r="N313" s="124"/>
    </row>
    <row r="314" spans="1:14" s="106" customFormat="1" ht="12" customHeight="1" hidden="1">
      <c r="A314" s="107" t="s">
        <v>347</v>
      </c>
      <c r="B314" s="500"/>
      <c r="C314" s="500">
        <v>131</v>
      </c>
      <c r="D314" s="488">
        <v>800000000</v>
      </c>
      <c r="E314" s="500"/>
      <c r="F314" s="500">
        <v>131</v>
      </c>
      <c r="G314" s="492" t="s">
        <v>527</v>
      </c>
      <c r="H314" s="484">
        <f t="shared" si="18"/>
        <v>0</v>
      </c>
      <c r="I314" s="485"/>
      <c r="J314" s="124"/>
      <c r="K314" s="111"/>
      <c r="L314" s="110"/>
      <c r="M314" s="124"/>
      <c r="N314" s="124"/>
    </row>
    <row r="315" spans="1:14" s="106" customFormat="1" ht="27.75" customHeight="1">
      <c r="A315" s="125" t="s">
        <v>517</v>
      </c>
      <c r="B315" s="108"/>
      <c r="C315" s="108">
        <v>131</v>
      </c>
      <c r="D315" s="114">
        <v>800000000</v>
      </c>
      <c r="E315" s="108"/>
      <c r="F315" s="108">
        <v>131</v>
      </c>
      <c r="G315" s="109"/>
      <c r="H315" s="124">
        <f t="shared" si="18"/>
        <v>0</v>
      </c>
      <c r="I315" s="124">
        <v>0</v>
      </c>
      <c r="J315" s="124"/>
      <c r="K315" s="111"/>
      <c r="L315" s="110"/>
      <c r="M315" s="124"/>
      <c r="N315" s="124"/>
    </row>
    <row r="316" spans="1:14" s="106" customFormat="1" ht="44.25" customHeight="1">
      <c r="A316" s="107" t="s">
        <v>348</v>
      </c>
      <c r="B316" s="108"/>
      <c r="C316" s="108">
        <v>131</v>
      </c>
      <c r="D316" s="114">
        <v>800000000</v>
      </c>
      <c r="E316" s="108"/>
      <c r="F316" s="108">
        <v>131</v>
      </c>
      <c r="G316" s="109"/>
      <c r="H316" s="124">
        <f t="shared" si="18"/>
        <v>0</v>
      </c>
      <c r="I316" s="124">
        <v>0</v>
      </c>
      <c r="J316" s="124"/>
      <c r="K316" s="111"/>
      <c r="L316" s="110"/>
      <c r="M316" s="124"/>
      <c r="N316" s="124"/>
    </row>
    <row r="317" spans="1:14" s="106" customFormat="1" ht="22.5" customHeight="1">
      <c r="A317" s="113" t="s">
        <v>349</v>
      </c>
      <c r="B317" s="114"/>
      <c r="C317" s="114">
        <v>131</v>
      </c>
      <c r="D317" s="114">
        <v>800000000</v>
      </c>
      <c r="E317" s="114"/>
      <c r="F317" s="114">
        <v>131</v>
      </c>
      <c r="G317" s="121"/>
      <c r="H317" s="117">
        <f t="shared" si="18"/>
        <v>0</v>
      </c>
      <c r="I317" s="124">
        <v>0</v>
      </c>
      <c r="J317" s="124"/>
      <c r="K317" s="111"/>
      <c r="L317" s="110"/>
      <c r="M317" s="124"/>
      <c r="N317" s="124"/>
    </row>
    <row r="318" spans="1:14" s="106" customFormat="1" ht="31.5" customHeight="1">
      <c r="A318" s="126" t="s">
        <v>350</v>
      </c>
      <c r="B318" s="114"/>
      <c r="C318" s="114">
        <v>131</v>
      </c>
      <c r="D318" s="114">
        <v>800000000</v>
      </c>
      <c r="E318" s="114"/>
      <c r="F318" s="114">
        <v>131</v>
      </c>
      <c r="G318" s="121"/>
      <c r="H318" s="117">
        <f t="shared" si="18"/>
        <v>0</v>
      </c>
      <c r="I318" s="124">
        <v>0</v>
      </c>
      <c r="J318" s="124"/>
      <c r="K318" s="111"/>
      <c r="L318" s="110"/>
      <c r="M318" s="124"/>
      <c r="N318" s="124"/>
    </row>
    <row r="319" spans="1:14" s="106" customFormat="1" ht="43.5" customHeight="1">
      <c r="A319" s="113" t="s">
        <v>351</v>
      </c>
      <c r="B319" s="114"/>
      <c r="C319" s="114">
        <v>131</v>
      </c>
      <c r="D319" s="114">
        <v>800000000</v>
      </c>
      <c r="E319" s="114"/>
      <c r="F319" s="114">
        <v>131</v>
      </c>
      <c r="G319" s="121"/>
      <c r="H319" s="117">
        <f t="shared" si="18"/>
        <v>0</v>
      </c>
      <c r="I319" s="124">
        <v>0</v>
      </c>
      <c r="J319" s="124"/>
      <c r="K319" s="111"/>
      <c r="L319" s="110"/>
      <c r="M319" s="124"/>
      <c r="N319" s="124"/>
    </row>
    <row r="320" spans="1:14" s="106" customFormat="1" ht="33" customHeight="1">
      <c r="A320" s="113" t="s">
        <v>352</v>
      </c>
      <c r="B320" s="114"/>
      <c r="C320" s="114">
        <v>131</v>
      </c>
      <c r="D320" s="114">
        <v>800000000</v>
      </c>
      <c r="E320" s="114"/>
      <c r="F320" s="114">
        <v>131</v>
      </c>
      <c r="G320" s="121"/>
      <c r="H320" s="117">
        <f t="shared" si="18"/>
        <v>0</v>
      </c>
      <c r="I320" s="124">
        <v>0</v>
      </c>
      <c r="J320" s="124"/>
      <c r="K320" s="111"/>
      <c r="L320" s="110"/>
      <c r="M320" s="124"/>
      <c r="N320" s="124"/>
    </row>
    <row r="321" spans="1:14" s="106" customFormat="1" ht="25.5" customHeight="1">
      <c r="A321" s="113" t="s">
        <v>353</v>
      </c>
      <c r="B321" s="114"/>
      <c r="C321" s="114">
        <v>131</v>
      </c>
      <c r="D321" s="114">
        <v>800000000</v>
      </c>
      <c r="E321" s="114"/>
      <c r="F321" s="114">
        <v>131</v>
      </c>
      <c r="G321" s="121"/>
      <c r="H321" s="117">
        <f t="shared" si="18"/>
        <v>0</v>
      </c>
      <c r="I321" s="124">
        <v>0</v>
      </c>
      <c r="J321" s="124"/>
      <c r="K321" s="111"/>
      <c r="L321" s="110"/>
      <c r="M321" s="124"/>
      <c r="N321" s="124"/>
    </row>
    <row r="322" spans="1:14" s="106" customFormat="1" ht="25.5">
      <c r="A322" s="113" t="s">
        <v>51</v>
      </c>
      <c r="B322" s="114"/>
      <c r="C322" s="114">
        <v>131</v>
      </c>
      <c r="D322" s="114">
        <v>800000000</v>
      </c>
      <c r="E322" s="114"/>
      <c r="F322" s="114">
        <v>131</v>
      </c>
      <c r="G322" s="101" t="s">
        <v>527</v>
      </c>
      <c r="H322" s="117">
        <f t="shared" si="18"/>
        <v>1112470</v>
      </c>
      <c r="I322" s="124">
        <f>805176+307294</f>
        <v>1112470</v>
      </c>
      <c r="J322" s="124"/>
      <c r="K322" s="111"/>
      <c r="L322" s="110"/>
      <c r="M322" s="124"/>
      <c r="N322" s="124"/>
    </row>
    <row r="323" spans="1:14" s="106" customFormat="1" ht="25.5" hidden="1">
      <c r="A323" s="113" t="s">
        <v>51</v>
      </c>
      <c r="B323" s="486"/>
      <c r="C323" s="486">
        <v>131</v>
      </c>
      <c r="D323" s="488">
        <v>800000000</v>
      </c>
      <c r="E323" s="486"/>
      <c r="F323" s="486">
        <v>131</v>
      </c>
      <c r="G323" s="493" t="s">
        <v>527</v>
      </c>
      <c r="H323" s="490">
        <f t="shared" si="18"/>
        <v>0</v>
      </c>
      <c r="I323" s="485"/>
      <c r="J323" s="124"/>
      <c r="K323" s="111"/>
      <c r="L323" s="110"/>
      <c r="M323" s="124"/>
      <c r="N323" s="124"/>
    </row>
    <row r="324" spans="1:14" s="106" customFormat="1" ht="12.75">
      <c r="A324" s="113" t="s">
        <v>52</v>
      </c>
      <c r="B324" s="114"/>
      <c r="C324" s="114">
        <v>131</v>
      </c>
      <c r="D324" s="114">
        <v>800000000</v>
      </c>
      <c r="E324" s="114"/>
      <c r="F324" s="114">
        <v>131</v>
      </c>
      <c r="G324" s="101" t="s">
        <v>527</v>
      </c>
      <c r="H324" s="117">
        <f t="shared" si="18"/>
        <v>4041887</v>
      </c>
      <c r="I324" s="124">
        <f>2959713+1082174</f>
        <v>4041887</v>
      </c>
      <c r="J324" s="124"/>
      <c r="K324" s="111"/>
      <c r="L324" s="110"/>
      <c r="M324" s="124"/>
      <c r="N324" s="124"/>
    </row>
    <row r="325" spans="1:14" s="106" customFormat="1" ht="15" hidden="1">
      <c r="A325" s="113" t="s">
        <v>52</v>
      </c>
      <c r="B325" s="486"/>
      <c r="C325" s="486">
        <v>131</v>
      </c>
      <c r="D325" s="488">
        <v>800000000</v>
      </c>
      <c r="E325" s="486"/>
      <c r="F325" s="486">
        <v>131</v>
      </c>
      <c r="G325" s="493" t="s">
        <v>527</v>
      </c>
      <c r="H325" s="490">
        <f t="shared" si="18"/>
        <v>0</v>
      </c>
      <c r="I325" s="485"/>
      <c r="J325" s="124"/>
      <c r="K325" s="111"/>
      <c r="L325" s="110"/>
      <c r="M325" s="124"/>
      <c r="N325" s="124"/>
    </row>
    <row r="326" spans="1:14" s="127" customFormat="1" ht="12.75">
      <c r="A326" s="113" t="s">
        <v>46</v>
      </c>
      <c r="B326" s="114"/>
      <c r="C326" s="114">
        <v>131</v>
      </c>
      <c r="D326" s="115" t="s">
        <v>521</v>
      </c>
      <c r="E326" s="114"/>
      <c r="F326" s="114">
        <v>131</v>
      </c>
      <c r="G326" s="116" t="s">
        <v>363</v>
      </c>
      <c r="H326" s="117">
        <f t="shared" si="18"/>
        <v>7808000</v>
      </c>
      <c r="I326" s="117"/>
      <c r="J326" s="117"/>
      <c r="K326" s="118"/>
      <c r="L326" s="122"/>
      <c r="M326" s="117">
        <f>5665000+2143000</f>
        <v>7808000</v>
      </c>
      <c r="N326" s="117"/>
    </row>
    <row r="327" spans="1:14" s="127" customFormat="1" ht="12.75">
      <c r="A327" s="113" t="s">
        <v>48</v>
      </c>
      <c r="B327" s="114"/>
      <c r="C327" s="114">
        <v>131</v>
      </c>
      <c r="D327" s="115" t="s">
        <v>521</v>
      </c>
      <c r="E327" s="114"/>
      <c r="F327" s="114">
        <v>131</v>
      </c>
      <c r="G327" s="116" t="s">
        <v>363</v>
      </c>
      <c r="H327" s="117">
        <f>I327+J327+K327+L327+M327</f>
        <v>1890000</v>
      </c>
      <c r="I327" s="117"/>
      <c r="J327" s="117"/>
      <c r="K327" s="118"/>
      <c r="L327" s="122"/>
      <c r="M327" s="158">
        <v>1890000</v>
      </c>
      <c r="N327" s="117"/>
    </row>
    <row r="328" spans="1:14" s="127" customFormat="1" ht="15.75" customHeight="1">
      <c r="A328" s="113" t="s">
        <v>368</v>
      </c>
      <c r="B328" s="114"/>
      <c r="C328" s="114">
        <v>134</v>
      </c>
      <c r="D328" s="115" t="s">
        <v>521</v>
      </c>
      <c r="E328" s="114"/>
      <c r="F328" s="114">
        <v>134</v>
      </c>
      <c r="G328" s="116" t="s">
        <v>363</v>
      </c>
      <c r="H328" s="117">
        <f>I328+J328+K328+L328+M328</f>
        <v>0</v>
      </c>
      <c r="I328" s="117"/>
      <c r="J328" s="117"/>
      <c r="K328" s="118"/>
      <c r="L328" s="122"/>
      <c r="M328" s="117"/>
      <c r="N328" s="117"/>
    </row>
    <row r="329" spans="1:14" s="127" customFormat="1" ht="21" customHeight="1">
      <c r="A329" s="113" t="s">
        <v>47</v>
      </c>
      <c r="B329" s="114"/>
      <c r="C329" s="114">
        <v>135</v>
      </c>
      <c r="D329" s="115" t="s">
        <v>521</v>
      </c>
      <c r="E329" s="114"/>
      <c r="F329" s="114">
        <v>135</v>
      </c>
      <c r="G329" s="116" t="s">
        <v>363</v>
      </c>
      <c r="H329" s="117">
        <f>I329+J329+K329+L329+M329</f>
        <v>367000</v>
      </c>
      <c r="I329" s="117"/>
      <c r="J329" s="117"/>
      <c r="K329" s="118"/>
      <c r="L329" s="122"/>
      <c r="M329" s="117">
        <f>360000+7000</f>
        <v>367000</v>
      </c>
      <c r="N329" s="117"/>
    </row>
    <row r="330" spans="1:14" s="127" customFormat="1" ht="21" customHeight="1" hidden="1">
      <c r="A330" s="113" t="s">
        <v>47</v>
      </c>
      <c r="B330" s="486"/>
      <c r="C330" s="488">
        <v>135</v>
      </c>
      <c r="D330" s="487" t="s">
        <v>521</v>
      </c>
      <c r="E330" s="488"/>
      <c r="F330" s="488">
        <v>135</v>
      </c>
      <c r="G330" s="491" t="s">
        <v>363</v>
      </c>
      <c r="H330" s="490">
        <f>I330+J330+K330+L330+M330</f>
        <v>0</v>
      </c>
      <c r="I330" s="490">
        <v>0</v>
      </c>
      <c r="J330" s="490">
        <v>0</v>
      </c>
      <c r="K330" s="506">
        <v>0</v>
      </c>
      <c r="L330" s="507">
        <v>0</v>
      </c>
      <c r="M330" s="494"/>
      <c r="N330" s="117"/>
    </row>
    <row r="331" spans="1:14" s="133" customFormat="1" ht="21.75" customHeight="1">
      <c r="A331" s="128" t="s">
        <v>432</v>
      </c>
      <c r="B331" s="129">
        <v>130</v>
      </c>
      <c r="C331" s="129">
        <v>140</v>
      </c>
      <c r="D331" s="115" t="s">
        <v>521</v>
      </c>
      <c r="E331" s="129"/>
      <c r="F331" s="129">
        <v>140</v>
      </c>
      <c r="G331" s="130" t="s">
        <v>363</v>
      </c>
      <c r="H331" s="131">
        <f>M331</f>
        <v>0</v>
      </c>
      <c r="I331" s="129" t="s">
        <v>74</v>
      </c>
      <c r="J331" s="129" t="s">
        <v>74</v>
      </c>
      <c r="K331" s="129" t="s">
        <v>74</v>
      </c>
      <c r="L331" s="129" t="s">
        <v>74</v>
      </c>
      <c r="M331" s="132">
        <f>M333+M334+M335+M336+M337</f>
        <v>0</v>
      </c>
      <c r="N331" s="129" t="s">
        <v>74</v>
      </c>
    </row>
    <row r="332" spans="1:14" s="127" customFormat="1" ht="12.75">
      <c r="A332" s="113" t="s">
        <v>364</v>
      </c>
      <c r="B332" s="114"/>
      <c r="C332" s="114"/>
      <c r="D332" s="115"/>
      <c r="E332" s="114"/>
      <c r="F332" s="114"/>
      <c r="G332" s="121"/>
      <c r="H332" s="117"/>
      <c r="I332" s="121"/>
      <c r="J332" s="114"/>
      <c r="K332" s="118"/>
      <c r="L332" s="122"/>
      <c r="M332" s="117"/>
      <c r="N332" s="122"/>
    </row>
    <row r="333" spans="1:14" s="127" customFormat="1" ht="38.25">
      <c r="A333" s="113" t="s">
        <v>369</v>
      </c>
      <c r="B333" s="114"/>
      <c r="C333" s="114">
        <v>141</v>
      </c>
      <c r="D333" s="115" t="s">
        <v>521</v>
      </c>
      <c r="E333" s="114"/>
      <c r="F333" s="114">
        <v>141</v>
      </c>
      <c r="G333" s="116" t="s">
        <v>363</v>
      </c>
      <c r="H333" s="117">
        <f>I333+J333+K333+L333+M333</f>
        <v>0</v>
      </c>
      <c r="I333" s="121"/>
      <c r="J333" s="114"/>
      <c r="K333" s="118"/>
      <c r="L333" s="122"/>
      <c r="M333" s="117"/>
      <c r="N333" s="122"/>
    </row>
    <row r="334" spans="1:14" s="127" customFormat="1" ht="25.5">
      <c r="A334" s="113" t="s">
        <v>370</v>
      </c>
      <c r="B334" s="114"/>
      <c r="C334" s="114">
        <v>142</v>
      </c>
      <c r="D334" s="115" t="s">
        <v>521</v>
      </c>
      <c r="E334" s="114"/>
      <c r="F334" s="114">
        <v>142</v>
      </c>
      <c r="G334" s="116" t="s">
        <v>363</v>
      </c>
      <c r="H334" s="117">
        <f>I334+J334+K334+L334+M334</f>
        <v>0</v>
      </c>
      <c r="I334" s="121"/>
      <c r="J334" s="114"/>
      <c r="K334" s="118"/>
      <c r="L334" s="122"/>
      <c r="M334" s="117"/>
      <c r="N334" s="122"/>
    </row>
    <row r="335" spans="1:14" s="127" customFormat="1" ht="15" customHeight="1">
      <c r="A335" s="113" t="s">
        <v>371</v>
      </c>
      <c r="B335" s="114"/>
      <c r="C335" s="114">
        <v>143</v>
      </c>
      <c r="D335" s="115" t="s">
        <v>521</v>
      </c>
      <c r="E335" s="114"/>
      <c r="F335" s="114">
        <v>143</v>
      </c>
      <c r="G335" s="116" t="s">
        <v>363</v>
      </c>
      <c r="H335" s="117">
        <f>I335+J335+K335+L335+M335</f>
        <v>0</v>
      </c>
      <c r="I335" s="121"/>
      <c r="J335" s="114"/>
      <c r="K335" s="118"/>
      <c r="L335" s="122"/>
      <c r="M335" s="117"/>
      <c r="N335" s="122"/>
    </row>
    <row r="336" spans="1:14" s="127" customFormat="1" ht="15" customHeight="1">
      <c r="A336" s="113" t="s">
        <v>372</v>
      </c>
      <c r="B336" s="114"/>
      <c r="C336" s="114">
        <v>144</v>
      </c>
      <c r="D336" s="115" t="s">
        <v>521</v>
      </c>
      <c r="E336" s="114"/>
      <c r="F336" s="114">
        <v>144</v>
      </c>
      <c r="G336" s="116" t="s">
        <v>363</v>
      </c>
      <c r="H336" s="117">
        <f>I336+J336+K336+L336+M336</f>
        <v>0</v>
      </c>
      <c r="I336" s="121"/>
      <c r="J336" s="114"/>
      <c r="K336" s="118"/>
      <c r="L336" s="122"/>
      <c r="M336" s="117"/>
      <c r="N336" s="122"/>
    </row>
    <row r="337" spans="1:14" s="127" customFormat="1" ht="15" customHeight="1">
      <c r="A337" s="113" t="s">
        <v>373</v>
      </c>
      <c r="B337" s="114"/>
      <c r="C337" s="114">
        <v>145</v>
      </c>
      <c r="D337" s="115" t="s">
        <v>521</v>
      </c>
      <c r="E337" s="114"/>
      <c r="F337" s="114">
        <v>145</v>
      </c>
      <c r="G337" s="116" t="s">
        <v>363</v>
      </c>
      <c r="H337" s="117">
        <f>I337+J337+K337+L337+M337</f>
        <v>0</v>
      </c>
      <c r="I337" s="121"/>
      <c r="J337" s="114"/>
      <c r="K337" s="118"/>
      <c r="L337" s="122"/>
      <c r="M337" s="117"/>
      <c r="N337" s="122"/>
    </row>
    <row r="338" spans="1:14" s="106" customFormat="1" ht="40.5" customHeight="1">
      <c r="A338" s="113" t="s">
        <v>49</v>
      </c>
      <c r="B338" s="114">
        <v>140</v>
      </c>
      <c r="C338" s="114"/>
      <c r="D338" s="115" t="s">
        <v>521</v>
      </c>
      <c r="E338" s="114"/>
      <c r="F338" s="114"/>
      <c r="G338" s="121"/>
      <c r="H338" s="117">
        <f>M338</f>
        <v>0</v>
      </c>
      <c r="I338" s="108" t="s">
        <v>74</v>
      </c>
      <c r="J338" s="108" t="s">
        <v>74</v>
      </c>
      <c r="K338" s="108" t="s">
        <v>74</v>
      </c>
      <c r="L338" s="108" t="s">
        <v>74</v>
      </c>
      <c r="M338" s="108"/>
      <c r="N338" s="108" t="s">
        <v>74</v>
      </c>
    </row>
    <row r="339" spans="1:14" s="106" customFormat="1" ht="27.75" customHeight="1">
      <c r="A339" s="113" t="s">
        <v>167</v>
      </c>
      <c r="B339" s="488">
        <v>150</v>
      </c>
      <c r="C339" s="488">
        <v>150</v>
      </c>
      <c r="D339" s="488">
        <v>901000000</v>
      </c>
      <c r="E339" s="488"/>
      <c r="F339" s="488">
        <v>150</v>
      </c>
      <c r="G339" s="499"/>
      <c r="H339" s="490">
        <f aca="true" t="shared" si="19" ref="H339:H347">J339+K339</f>
        <v>902129.53</v>
      </c>
      <c r="I339" s="500" t="s">
        <v>74</v>
      </c>
      <c r="J339" s="516">
        <f>SUM(J340:J347)</f>
        <v>902129.53</v>
      </c>
      <c r="K339" s="108">
        <f>K340</f>
        <v>0</v>
      </c>
      <c r="L339" s="108" t="s">
        <v>74</v>
      </c>
      <c r="M339" s="108" t="s">
        <v>74</v>
      </c>
      <c r="N339" s="108" t="s">
        <v>74</v>
      </c>
    </row>
    <row r="340" spans="1:14" s="106" customFormat="1" ht="21.75" customHeight="1">
      <c r="A340" s="113" t="s">
        <v>831</v>
      </c>
      <c r="B340" s="488"/>
      <c r="C340" s="488">
        <v>152</v>
      </c>
      <c r="D340" s="488">
        <v>901480000</v>
      </c>
      <c r="E340" s="488"/>
      <c r="F340" s="488">
        <v>152</v>
      </c>
      <c r="G340" s="499" t="s">
        <v>526</v>
      </c>
      <c r="H340" s="490">
        <f t="shared" si="19"/>
        <v>364383</v>
      </c>
      <c r="I340" s="500">
        <v>0</v>
      </c>
      <c r="J340" s="485">
        <v>364383</v>
      </c>
      <c r="K340" s="111"/>
      <c r="L340" s="108" t="s">
        <v>74</v>
      </c>
      <c r="M340" s="108" t="s">
        <v>74</v>
      </c>
      <c r="N340" s="108" t="s">
        <v>74</v>
      </c>
    </row>
    <row r="341" spans="1:14" s="106" customFormat="1" ht="21.75" customHeight="1">
      <c r="A341" s="113" t="s">
        <v>236</v>
      </c>
      <c r="B341" s="488"/>
      <c r="C341" s="488">
        <v>152</v>
      </c>
      <c r="D341" s="488">
        <v>901160000</v>
      </c>
      <c r="E341" s="488"/>
      <c r="F341" s="488">
        <v>152</v>
      </c>
      <c r="G341" s="499" t="s">
        <v>526</v>
      </c>
      <c r="H341" s="490">
        <f t="shared" si="19"/>
        <v>127246</v>
      </c>
      <c r="I341" s="500">
        <v>0</v>
      </c>
      <c r="J341" s="485">
        <v>127246</v>
      </c>
      <c r="K341" s="111"/>
      <c r="L341" s="108" t="s">
        <v>74</v>
      </c>
      <c r="M341" s="108" t="s">
        <v>74</v>
      </c>
      <c r="N341" s="108" t="s">
        <v>74</v>
      </c>
    </row>
    <row r="342" spans="1:14" s="106" customFormat="1" ht="21.75" customHeight="1">
      <c r="A342" s="113" t="s">
        <v>832</v>
      </c>
      <c r="B342" s="488"/>
      <c r="C342" s="488">
        <v>152</v>
      </c>
      <c r="D342" s="488">
        <v>901830000</v>
      </c>
      <c r="E342" s="488"/>
      <c r="F342" s="488">
        <v>152</v>
      </c>
      <c r="G342" s="499" t="s">
        <v>526</v>
      </c>
      <c r="H342" s="490">
        <f t="shared" si="19"/>
        <v>66594.53</v>
      </c>
      <c r="I342" s="500">
        <v>0</v>
      </c>
      <c r="J342" s="485">
        <v>66594.53</v>
      </c>
      <c r="K342" s="111"/>
      <c r="L342" s="108"/>
      <c r="M342" s="108"/>
      <c r="N342" s="108"/>
    </row>
    <row r="343" spans="1:14" s="106" customFormat="1" ht="21.75" customHeight="1">
      <c r="A343" s="113" t="s">
        <v>834</v>
      </c>
      <c r="B343" s="488"/>
      <c r="C343" s="488">
        <v>152</v>
      </c>
      <c r="D343" s="488">
        <v>901140000</v>
      </c>
      <c r="E343" s="488"/>
      <c r="F343" s="488">
        <v>152</v>
      </c>
      <c r="G343" s="499" t="s">
        <v>526</v>
      </c>
      <c r="H343" s="490">
        <f t="shared" si="19"/>
        <v>56596</v>
      </c>
      <c r="I343" s="500">
        <v>0</v>
      </c>
      <c r="J343" s="485">
        <v>56596</v>
      </c>
      <c r="K343" s="111"/>
      <c r="L343" s="108"/>
      <c r="M343" s="108"/>
      <c r="N343" s="108"/>
    </row>
    <row r="344" spans="1:14" s="106" customFormat="1" ht="21.75" customHeight="1">
      <c r="A344" s="113" t="s">
        <v>835</v>
      </c>
      <c r="B344" s="488"/>
      <c r="C344" s="488">
        <v>152</v>
      </c>
      <c r="D344" s="488">
        <v>901140000</v>
      </c>
      <c r="E344" s="488"/>
      <c r="F344" s="488">
        <v>152</v>
      </c>
      <c r="G344" s="499" t="s">
        <v>526</v>
      </c>
      <c r="H344" s="490">
        <f t="shared" si="19"/>
        <v>13862</v>
      </c>
      <c r="I344" s="500">
        <v>0</v>
      </c>
      <c r="J344" s="485">
        <v>13862</v>
      </c>
      <c r="K344" s="111"/>
      <c r="L344" s="108" t="s">
        <v>74</v>
      </c>
      <c r="M344" s="108" t="s">
        <v>74</v>
      </c>
      <c r="N344" s="108" t="s">
        <v>74</v>
      </c>
    </row>
    <row r="345" spans="1:14" s="106" customFormat="1" ht="21.75" customHeight="1">
      <c r="A345" s="113" t="s">
        <v>836</v>
      </c>
      <c r="B345" s="488"/>
      <c r="C345" s="488">
        <v>152</v>
      </c>
      <c r="D345" s="488">
        <v>901150000</v>
      </c>
      <c r="E345" s="488"/>
      <c r="F345" s="488">
        <v>152</v>
      </c>
      <c r="G345" s="499" t="s">
        <v>526</v>
      </c>
      <c r="H345" s="490">
        <f t="shared" si="19"/>
        <v>67915</v>
      </c>
      <c r="I345" s="500">
        <v>0</v>
      </c>
      <c r="J345" s="485">
        <v>67915</v>
      </c>
      <c r="K345" s="111"/>
      <c r="L345" s="108" t="s">
        <v>74</v>
      </c>
      <c r="M345" s="108" t="s">
        <v>74</v>
      </c>
      <c r="N345" s="108" t="s">
        <v>74</v>
      </c>
    </row>
    <row r="346" spans="1:14" s="106" customFormat="1" ht="21.75" customHeight="1">
      <c r="A346" s="113" t="s">
        <v>241</v>
      </c>
      <c r="B346" s="488"/>
      <c r="C346" s="488">
        <v>152</v>
      </c>
      <c r="D346" s="501">
        <v>901210000</v>
      </c>
      <c r="E346" s="488"/>
      <c r="F346" s="488">
        <v>152</v>
      </c>
      <c r="G346" s="491" t="s">
        <v>528</v>
      </c>
      <c r="H346" s="490">
        <f t="shared" si="19"/>
        <v>105533</v>
      </c>
      <c r="I346" s="500">
        <v>0</v>
      </c>
      <c r="J346" s="485">
        <v>105533</v>
      </c>
      <c r="K346" s="111"/>
      <c r="L346" s="108" t="s">
        <v>74</v>
      </c>
      <c r="M346" s="108" t="s">
        <v>74</v>
      </c>
      <c r="N346" s="108" t="s">
        <v>74</v>
      </c>
    </row>
    <row r="347" spans="1:14" s="106" customFormat="1" ht="21.75" customHeight="1">
      <c r="A347" s="113" t="s">
        <v>837</v>
      </c>
      <c r="B347" s="488"/>
      <c r="C347" s="488">
        <v>152</v>
      </c>
      <c r="D347" s="488">
        <v>901480000</v>
      </c>
      <c r="E347" s="488"/>
      <c r="F347" s="488">
        <v>152</v>
      </c>
      <c r="G347" s="499" t="s">
        <v>526</v>
      </c>
      <c r="H347" s="490">
        <f t="shared" si="19"/>
        <v>100000</v>
      </c>
      <c r="I347" s="500">
        <v>0</v>
      </c>
      <c r="J347" s="485">
        <v>100000</v>
      </c>
      <c r="K347" s="111"/>
      <c r="L347" s="108" t="s">
        <v>74</v>
      </c>
      <c r="M347" s="108" t="s">
        <v>74</v>
      </c>
      <c r="N347" s="108" t="s">
        <v>74</v>
      </c>
    </row>
    <row r="348" spans="1:14" s="106" customFormat="1" ht="21.75" customHeight="1">
      <c r="A348" s="113" t="s">
        <v>167</v>
      </c>
      <c r="B348" s="114">
        <v>150</v>
      </c>
      <c r="C348" s="114">
        <v>152</v>
      </c>
      <c r="D348" s="114">
        <v>901750000</v>
      </c>
      <c r="E348" s="114"/>
      <c r="F348" s="114">
        <v>152</v>
      </c>
      <c r="G348" s="121" t="s">
        <v>534</v>
      </c>
      <c r="H348" s="117">
        <f>J348+K348</f>
        <v>0</v>
      </c>
      <c r="I348" s="108"/>
      <c r="J348" s="124">
        <v>0</v>
      </c>
      <c r="K348" s="111"/>
      <c r="L348" s="108"/>
      <c r="M348" s="109"/>
      <c r="N348" s="109"/>
    </row>
    <row r="349" spans="1:14" s="127" customFormat="1" ht="21.75" customHeight="1">
      <c r="A349" s="113" t="s">
        <v>210</v>
      </c>
      <c r="B349" s="114">
        <v>160</v>
      </c>
      <c r="C349" s="114">
        <v>180</v>
      </c>
      <c r="D349" s="115" t="s">
        <v>521</v>
      </c>
      <c r="E349" s="114"/>
      <c r="F349" s="114">
        <v>180</v>
      </c>
      <c r="G349" s="116" t="s">
        <v>363</v>
      </c>
      <c r="H349" s="117">
        <f aca="true" t="shared" si="20" ref="H349:H355">M349</f>
        <v>0</v>
      </c>
      <c r="I349" s="114" t="s">
        <v>74</v>
      </c>
      <c r="J349" s="114" t="s">
        <v>74</v>
      </c>
      <c r="K349" s="114" t="s">
        <v>74</v>
      </c>
      <c r="L349" s="114" t="s">
        <v>74</v>
      </c>
      <c r="M349" s="117">
        <f>M350+M351</f>
        <v>0</v>
      </c>
      <c r="N349" s="117">
        <f>N350+N351</f>
        <v>0</v>
      </c>
    </row>
    <row r="350" spans="1:14" s="127" customFormat="1" ht="15" customHeight="1">
      <c r="A350" s="134" t="s">
        <v>133</v>
      </c>
      <c r="B350" s="114"/>
      <c r="C350" s="114">
        <v>189</v>
      </c>
      <c r="D350" s="115" t="s">
        <v>521</v>
      </c>
      <c r="E350" s="114"/>
      <c r="F350" s="114">
        <v>189</v>
      </c>
      <c r="G350" s="116" t="s">
        <v>363</v>
      </c>
      <c r="H350" s="117">
        <f t="shared" si="20"/>
        <v>0</v>
      </c>
      <c r="I350" s="117"/>
      <c r="J350" s="117"/>
      <c r="K350" s="118"/>
      <c r="L350" s="122"/>
      <c r="M350" s="117"/>
      <c r="N350" s="117"/>
    </row>
    <row r="351" spans="1:14" s="127" customFormat="1" ht="15" customHeight="1">
      <c r="A351" s="134" t="s">
        <v>134</v>
      </c>
      <c r="B351" s="114"/>
      <c r="C351" s="114">
        <v>189</v>
      </c>
      <c r="D351" s="115" t="s">
        <v>521</v>
      </c>
      <c r="E351" s="114"/>
      <c r="F351" s="114">
        <v>189</v>
      </c>
      <c r="G351" s="116" t="s">
        <v>363</v>
      </c>
      <c r="H351" s="117">
        <f t="shared" si="20"/>
        <v>0</v>
      </c>
      <c r="I351" s="117"/>
      <c r="J351" s="117"/>
      <c r="K351" s="118"/>
      <c r="L351" s="122"/>
      <c r="M351" s="117"/>
      <c r="N351" s="117"/>
    </row>
    <row r="352" spans="1:14" s="127" customFormat="1" ht="23.25" customHeight="1">
      <c r="A352" s="113" t="s">
        <v>211</v>
      </c>
      <c r="B352" s="114">
        <v>180</v>
      </c>
      <c r="C352" s="114">
        <v>400</v>
      </c>
      <c r="D352" s="115" t="s">
        <v>521</v>
      </c>
      <c r="E352" s="114" t="s">
        <v>74</v>
      </c>
      <c r="F352" s="114">
        <v>400</v>
      </c>
      <c r="G352" s="116" t="s">
        <v>363</v>
      </c>
      <c r="H352" s="117">
        <f t="shared" si="20"/>
        <v>0</v>
      </c>
      <c r="I352" s="114" t="s">
        <v>74</v>
      </c>
      <c r="J352" s="114" t="s">
        <v>74</v>
      </c>
      <c r="K352" s="114" t="s">
        <v>74</v>
      </c>
      <c r="L352" s="114" t="s">
        <v>74</v>
      </c>
      <c r="M352" s="117">
        <f>M353+M354+M355+M357+M356</f>
        <v>0</v>
      </c>
      <c r="N352" s="114" t="s">
        <v>74</v>
      </c>
    </row>
    <row r="353" spans="1:14" s="127" customFormat="1" ht="15" customHeight="1">
      <c r="A353" s="135" t="s">
        <v>374</v>
      </c>
      <c r="B353" s="114"/>
      <c r="C353" s="114">
        <v>410</v>
      </c>
      <c r="D353" s="115" t="s">
        <v>521</v>
      </c>
      <c r="E353" s="114"/>
      <c r="F353" s="114">
        <v>410</v>
      </c>
      <c r="G353" s="116" t="s">
        <v>363</v>
      </c>
      <c r="H353" s="117">
        <f t="shared" si="20"/>
        <v>0</v>
      </c>
      <c r="I353" s="117"/>
      <c r="J353" s="117"/>
      <c r="K353" s="118"/>
      <c r="L353" s="122"/>
      <c r="M353" s="117"/>
      <c r="N353" s="117"/>
    </row>
    <row r="354" spans="1:14" s="127" customFormat="1" ht="15" customHeight="1">
      <c r="A354" s="135" t="s">
        <v>375</v>
      </c>
      <c r="B354" s="114"/>
      <c r="C354" s="114">
        <v>420</v>
      </c>
      <c r="D354" s="115" t="s">
        <v>521</v>
      </c>
      <c r="E354" s="114"/>
      <c r="F354" s="114">
        <v>420</v>
      </c>
      <c r="G354" s="116" t="s">
        <v>363</v>
      </c>
      <c r="H354" s="117">
        <f t="shared" si="20"/>
        <v>0</v>
      </c>
      <c r="I354" s="117"/>
      <c r="J354" s="117"/>
      <c r="K354" s="118"/>
      <c r="L354" s="122"/>
      <c r="M354" s="117"/>
      <c r="N354" s="117"/>
    </row>
    <row r="355" spans="1:14" s="127" customFormat="1" ht="15" customHeight="1">
      <c r="A355" s="135" t="s">
        <v>376</v>
      </c>
      <c r="B355" s="114"/>
      <c r="C355" s="114">
        <v>430</v>
      </c>
      <c r="D355" s="115" t="s">
        <v>521</v>
      </c>
      <c r="E355" s="114"/>
      <c r="F355" s="114">
        <v>430</v>
      </c>
      <c r="G355" s="116" t="s">
        <v>363</v>
      </c>
      <c r="H355" s="117">
        <f t="shared" si="20"/>
        <v>0</v>
      </c>
      <c r="I355" s="117"/>
      <c r="J355" s="117"/>
      <c r="K355" s="118"/>
      <c r="L355" s="122"/>
      <c r="M355" s="117"/>
      <c r="N355" s="117"/>
    </row>
    <row r="356" spans="1:14" s="120" customFormat="1" ht="15" customHeight="1">
      <c r="A356" s="135" t="s">
        <v>425</v>
      </c>
      <c r="B356" s="114"/>
      <c r="C356" s="114">
        <v>440</v>
      </c>
      <c r="D356" s="115" t="s">
        <v>521</v>
      </c>
      <c r="E356" s="114"/>
      <c r="F356" s="114">
        <v>440</v>
      </c>
      <c r="G356" s="116" t="s">
        <v>363</v>
      </c>
      <c r="H356" s="117">
        <f>M356</f>
        <v>0</v>
      </c>
      <c r="I356" s="117"/>
      <c r="J356" s="117"/>
      <c r="K356" s="118"/>
      <c r="L356" s="122"/>
      <c r="M356" s="117"/>
      <c r="N356" s="117"/>
    </row>
    <row r="357" spans="1:14" s="127" customFormat="1" ht="15" customHeight="1">
      <c r="A357" s="135" t="s">
        <v>377</v>
      </c>
      <c r="B357" s="114"/>
      <c r="C357" s="114">
        <v>450</v>
      </c>
      <c r="D357" s="115" t="s">
        <v>521</v>
      </c>
      <c r="E357" s="114"/>
      <c r="F357" s="114">
        <v>450</v>
      </c>
      <c r="G357" s="116" t="s">
        <v>363</v>
      </c>
      <c r="H357" s="117">
        <f>M357</f>
        <v>0</v>
      </c>
      <c r="I357" s="117"/>
      <c r="J357" s="117"/>
      <c r="K357" s="118"/>
      <c r="L357" s="122"/>
      <c r="M357" s="117"/>
      <c r="N357" s="117"/>
    </row>
    <row r="358" spans="1:14" s="8" customFormat="1" ht="11.25" customHeight="1">
      <c r="A358" s="136" t="s">
        <v>44</v>
      </c>
      <c r="B358" s="137">
        <v>200</v>
      </c>
      <c r="C358" s="137"/>
      <c r="D358" s="137"/>
      <c r="E358" s="137"/>
      <c r="F358" s="138"/>
      <c r="G358" s="138"/>
      <c r="H358" s="139">
        <f aca="true" t="shared" si="21" ref="H358:N358">H360+H383+H393+H409+H410+H414</f>
        <v>63859916.529999994</v>
      </c>
      <c r="I358" s="139">
        <f t="shared" si="21"/>
        <v>49432260.64</v>
      </c>
      <c r="J358" s="139">
        <f>J360+J383+J393+J409+J410+J414</f>
        <v>902129.53</v>
      </c>
      <c r="K358" s="139">
        <f t="shared" si="21"/>
        <v>0</v>
      </c>
      <c r="L358" s="139">
        <f t="shared" si="21"/>
        <v>0</v>
      </c>
      <c r="M358" s="139">
        <f>M360+M383+M393+M409+M410+M414</f>
        <v>13525526.359999998</v>
      </c>
      <c r="N358" s="139">
        <f t="shared" si="21"/>
        <v>0</v>
      </c>
    </row>
    <row r="359" spans="1:14" s="8" customFormat="1" ht="13.5" customHeight="1">
      <c r="A359" s="140" t="s">
        <v>4</v>
      </c>
      <c r="B359" s="108"/>
      <c r="C359" s="108"/>
      <c r="D359" s="108"/>
      <c r="E359" s="108"/>
      <c r="F359" s="108"/>
      <c r="G359" s="109"/>
      <c r="H359" s="124"/>
      <c r="I359" s="124"/>
      <c r="J359" s="124"/>
      <c r="K359" s="112"/>
      <c r="L359" s="112"/>
      <c r="M359" s="112"/>
      <c r="N359" s="112"/>
    </row>
    <row r="360" spans="1:14" s="8" customFormat="1" ht="13.5" customHeight="1">
      <c r="A360" s="140" t="s">
        <v>296</v>
      </c>
      <c r="B360" s="108">
        <v>210</v>
      </c>
      <c r="C360" s="108"/>
      <c r="D360" s="108"/>
      <c r="E360" s="108"/>
      <c r="F360" s="108"/>
      <c r="G360" s="109"/>
      <c r="H360" s="124">
        <f>H362</f>
        <v>41334910.05</v>
      </c>
      <c r="I360" s="124">
        <f aca="true" t="shared" si="22" ref="I360:N360">I362</f>
        <v>36305946.660000004</v>
      </c>
      <c r="J360" s="124">
        <f t="shared" si="22"/>
        <v>658223.53</v>
      </c>
      <c r="K360" s="124">
        <f t="shared" si="22"/>
        <v>0</v>
      </c>
      <c r="L360" s="124">
        <f t="shared" si="22"/>
        <v>0</v>
      </c>
      <c r="M360" s="124">
        <f t="shared" si="22"/>
        <v>4370739.859999999</v>
      </c>
      <c r="N360" s="124">
        <f t="shared" si="22"/>
        <v>0</v>
      </c>
    </row>
    <row r="361" spans="1:14" s="8" customFormat="1" ht="13.5" customHeight="1">
      <c r="A361" s="141" t="s">
        <v>3</v>
      </c>
      <c r="B361" s="114"/>
      <c r="C361" s="114"/>
      <c r="D361" s="114"/>
      <c r="E361" s="114"/>
      <c r="F361" s="114"/>
      <c r="G361" s="121"/>
      <c r="H361" s="117"/>
      <c r="I361" s="124"/>
      <c r="J361" s="124"/>
      <c r="K361" s="112"/>
      <c r="L361" s="112"/>
      <c r="M361" s="112"/>
      <c r="N361" s="112"/>
    </row>
    <row r="362" spans="1:14" s="8" customFormat="1" ht="25.5" customHeight="1">
      <c r="A362" s="141" t="s">
        <v>297</v>
      </c>
      <c r="B362" s="114">
        <v>211</v>
      </c>
      <c r="C362" s="114"/>
      <c r="D362" s="114"/>
      <c r="E362" s="114"/>
      <c r="F362" s="114"/>
      <c r="G362" s="121"/>
      <c r="H362" s="117">
        <f>SUM(H364:H382)</f>
        <v>41334910.05</v>
      </c>
      <c r="I362" s="124">
        <f>I364+I372+I373+I375+I365+I366+I376+I377</f>
        <v>36305946.660000004</v>
      </c>
      <c r="J362" s="124">
        <f>SUM(J364:J380)</f>
        <v>658223.53</v>
      </c>
      <c r="K362" s="124">
        <f>K364+K372+K373+K375</f>
        <v>0</v>
      </c>
      <c r="L362" s="124">
        <f>L364+L372+L373+L375</f>
        <v>0</v>
      </c>
      <c r="M362" s="124">
        <f>SUM(M364:M382)</f>
        <v>4370739.859999999</v>
      </c>
      <c r="N362" s="124">
        <f>N364+N372+N373+N375</f>
        <v>0</v>
      </c>
    </row>
    <row r="363" spans="1:14" s="8" customFormat="1" ht="16.5" customHeight="1">
      <c r="A363" s="141" t="s">
        <v>4</v>
      </c>
      <c r="B363" s="114"/>
      <c r="C363" s="114"/>
      <c r="D363" s="114"/>
      <c r="E363" s="114"/>
      <c r="F363" s="114"/>
      <c r="G363" s="121"/>
      <c r="H363" s="117"/>
      <c r="I363" s="124"/>
      <c r="J363" s="124"/>
      <c r="K363" s="112"/>
      <c r="L363" s="112"/>
      <c r="M363" s="112"/>
      <c r="N363" s="112"/>
    </row>
    <row r="364" spans="1:14" s="8" customFormat="1" ht="16.5" customHeight="1">
      <c r="A364" s="141" t="s">
        <v>298</v>
      </c>
      <c r="B364" s="114"/>
      <c r="C364" s="114">
        <v>211</v>
      </c>
      <c r="D364" s="114">
        <v>800000000</v>
      </c>
      <c r="E364" s="114">
        <v>111</v>
      </c>
      <c r="F364" s="114">
        <v>211</v>
      </c>
      <c r="G364" s="101" t="s">
        <v>523</v>
      </c>
      <c r="H364" s="117">
        <f aca="true" t="shared" si="23" ref="H364:H369">I364+J364+K364+L364+M364+N364</f>
        <v>19814428.33</v>
      </c>
      <c r="I364" s="124">
        <f>17923864.13+1890564.2</f>
        <v>19814428.33</v>
      </c>
      <c r="J364" s="124"/>
      <c r="K364" s="112"/>
      <c r="L364" s="112"/>
      <c r="M364" s="112"/>
      <c r="N364" s="112"/>
    </row>
    <row r="365" spans="1:14" s="8" customFormat="1" ht="16.5" customHeight="1">
      <c r="A365" s="141" t="s">
        <v>298</v>
      </c>
      <c r="B365" s="486"/>
      <c r="C365" s="486">
        <v>211</v>
      </c>
      <c r="D365" s="488">
        <v>800000000</v>
      </c>
      <c r="E365" s="486">
        <v>111</v>
      </c>
      <c r="F365" s="486">
        <v>211</v>
      </c>
      <c r="G365" s="489" t="s">
        <v>826</v>
      </c>
      <c r="H365" s="490">
        <f t="shared" si="23"/>
        <v>8069263.48</v>
      </c>
      <c r="I365" s="485">
        <v>8069263.48</v>
      </c>
      <c r="J365" s="124"/>
      <c r="K365" s="112"/>
      <c r="L365" s="112"/>
      <c r="M365" s="112"/>
      <c r="N365" s="112"/>
    </row>
    <row r="366" spans="1:14" s="8" customFormat="1" ht="16.5" customHeight="1">
      <c r="A366" s="141" t="s">
        <v>298</v>
      </c>
      <c r="B366" s="486"/>
      <c r="C366" s="486">
        <v>211</v>
      </c>
      <c r="D366" s="488">
        <v>800000000</v>
      </c>
      <c r="E366" s="486">
        <v>111</v>
      </c>
      <c r="F366" s="486">
        <v>211</v>
      </c>
      <c r="G366" s="489" t="s">
        <v>523</v>
      </c>
      <c r="H366" s="490">
        <f t="shared" si="23"/>
        <v>0</v>
      </c>
      <c r="I366" s="485"/>
      <c r="J366" s="124"/>
      <c r="K366" s="112"/>
      <c r="L366" s="112"/>
      <c r="M366" s="112"/>
      <c r="N366" s="112"/>
    </row>
    <row r="367" spans="1:14" s="8" customFormat="1" ht="16.5" customHeight="1">
      <c r="A367" s="141" t="s">
        <v>298</v>
      </c>
      <c r="B367" s="486"/>
      <c r="C367" s="486">
        <v>211</v>
      </c>
      <c r="D367" s="488">
        <v>901480000</v>
      </c>
      <c r="E367" s="486">
        <v>111</v>
      </c>
      <c r="F367" s="486">
        <v>211</v>
      </c>
      <c r="G367" s="499" t="s">
        <v>523</v>
      </c>
      <c r="H367" s="490">
        <f t="shared" si="23"/>
        <v>279864.68</v>
      </c>
      <c r="I367" s="484">
        <v>0</v>
      </c>
      <c r="J367" s="485">
        <v>279864.68</v>
      </c>
      <c r="K367" s="112"/>
      <c r="L367" s="112"/>
      <c r="M367" s="112"/>
      <c r="N367" s="112"/>
    </row>
    <row r="368" spans="1:14" s="8" customFormat="1" ht="16.5" customHeight="1">
      <c r="A368" s="141" t="s">
        <v>298</v>
      </c>
      <c r="B368" s="486"/>
      <c r="C368" s="486">
        <v>211</v>
      </c>
      <c r="D368" s="488">
        <v>901160000</v>
      </c>
      <c r="E368" s="486">
        <v>111</v>
      </c>
      <c r="F368" s="486">
        <v>211</v>
      </c>
      <c r="G368" s="499" t="s">
        <v>523</v>
      </c>
      <c r="H368" s="490">
        <f t="shared" si="23"/>
        <v>97731.18</v>
      </c>
      <c r="I368" s="484">
        <v>0</v>
      </c>
      <c r="J368" s="485">
        <v>97731.18</v>
      </c>
      <c r="K368" s="112"/>
      <c r="L368" s="112"/>
      <c r="M368" s="112"/>
      <c r="N368" s="112"/>
    </row>
    <row r="369" spans="1:14" s="8" customFormat="1" ht="16.5" customHeight="1">
      <c r="A369" s="141" t="s">
        <v>298</v>
      </c>
      <c r="B369" s="486"/>
      <c r="C369" s="486">
        <v>211</v>
      </c>
      <c r="D369" s="488">
        <v>901830000</v>
      </c>
      <c r="E369" s="486">
        <v>111</v>
      </c>
      <c r="F369" s="486">
        <v>211</v>
      </c>
      <c r="G369" s="499" t="s">
        <v>523</v>
      </c>
      <c r="H369" s="490">
        <f t="shared" si="23"/>
        <v>51147.87</v>
      </c>
      <c r="I369" s="484">
        <v>0</v>
      </c>
      <c r="J369" s="485">
        <v>51147.87</v>
      </c>
      <c r="K369" s="112"/>
      <c r="L369" s="112"/>
      <c r="M369" s="112"/>
      <c r="N369" s="112"/>
    </row>
    <row r="370" spans="1:14" s="8" customFormat="1" ht="16.5" customHeight="1">
      <c r="A370" s="141" t="s">
        <v>298</v>
      </c>
      <c r="B370" s="114"/>
      <c r="C370" s="114">
        <v>211</v>
      </c>
      <c r="D370" s="115" t="s">
        <v>521</v>
      </c>
      <c r="E370" s="114">
        <v>111</v>
      </c>
      <c r="F370" s="114">
        <v>211</v>
      </c>
      <c r="G370" s="101" t="s">
        <v>530</v>
      </c>
      <c r="H370" s="117">
        <f>SUM(I370:M370)</f>
        <v>3356945.7699999996</v>
      </c>
      <c r="I370" s="124"/>
      <c r="J370" s="124"/>
      <c r="K370" s="112"/>
      <c r="L370" s="112"/>
      <c r="M370" s="112">
        <f>2128645.86+1228299.91</f>
        <v>3356945.7699999996</v>
      </c>
      <c r="N370" s="112"/>
    </row>
    <row r="371" spans="1:14" s="8" customFormat="1" ht="16.5" customHeight="1" hidden="1">
      <c r="A371" s="141" t="s">
        <v>298</v>
      </c>
      <c r="B371" s="486"/>
      <c r="C371" s="488">
        <v>211</v>
      </c>
      <c r="D371" s="487" t="s">
        <v>521</v>
      </c>
      <c r="E371" s="488">
        <v>111</v>
      </c>
      <c r="F371" s="488">
        <v>211</v>
      </c>
      <c r="G371" s="493" t="s">
        <v>530</v>
      </c>
      <c r="H371" s="490">
        <f aca="true" t="shared" si="24" ref="H371:H381">I371+J371+K371+L371+M371+N371</f>
        <v>0</v>
      </c>
      <c r="I371" s="484">
        <v>0</v>
      </c>
      <c r="J371" s="484">
        <v>0</v>
      </c>
      <c r="K371" s="498">
        <v>0</v>
      </c>
      <c r="L371" s="498">
        <v>0</v>
      </c>
      <c r="M371" s="496"/>
      <c r="N371" s="112"/>
    </row>
    <row r="372" spans="1:14" s="8" customFormat="1" ht="16.5" customHeight="1">
      <c r="A372" s="141" t="s">
        <v>299</v>
      </c>
      <c r="B372" s="114"/>
      <c r="C372" s="114">
        <v>211</v>
      </c>
      <c r="D372" s="114"/>
      <c r="E372" s="114">
        <v>111</v>
      </c>
      <c r="F372" s="114">
        <v>211</v>
      </c>
      <c r="G372" s="121"/>
      <c r="H372" s="117">
        <f t="shared" si="24"/>
        <v>0</v>
      </c>
      <c r="I372" s="124"/>
      <c r="J372" s="124"/>
      <c r="K372" s="112"/>
      <c r="L372" s="112"/>
      <c r="M372" s="112"/>
      <c r="N372" s="112"/>
    </row>
    <row r="373" spans="1:14" s="8" customFormat="1" ht="54" customHeight="1">
      <c r="A373" s="141" t="s">
        <v>300</v>
      </c>
      <c r="B373" s="486"/>
      <c r="C373" s="488">
        <v>266</v>
      </c>
      <c r="D373" s="488">
        <v>800000000</v>
      </c>
      <c r="E373" s="488">
        <v>112</v>
      </c>
      <c r="F373" s="488">
        <v>266</v>
      </c>
      <c r="G373" s="489" t="s">
        <v>826</v>
      </c>
      <c r="H373" s="490">
        <f t="shared" si="24"/>
        <v>1380</v>
      </c>
      <c r="I373" s="485">
        <f>690*2</f>
        <v>1380</v>
      </c>
      <c r="J373" s="124">
        <v>0</v>
      </c>
      <c r="K373" s="112"/>
      <c r="L373" s="112"/>
      <c r="M373" s="112"/>
      <c r="N373" s="112"/>
    </row>
    <row r="374" spans="1:14" s="8" customFormat="1" ht="54" customHeight="1">
      <c r="A374" s="141" t="s">
        <v>843</v>
      </c>
      <c r="B374" s="486"/>
      <c r="C374" s="488">
        <v>266</v>
      </c>
      <c r="D374" s="488">
        <v>901480000</v>
      </c>
      <c r="E374" s="488">
        <v>112</v>
      </c>
      <c r="F374" s="488">
        <v>266</v>
      </c>
      <c r="G374" s="499" t="s">
        <v>523</v>
      </c>
      <c r="H374" s="490">
        <f t="shared" si="24"/>
        <v>100000</v>
      </c>
      <c r="I374" s="484">
        <v>0</v>
      </c>
      <c r="J374" s="485">
        <v>100000</v>
      </c>
      <c r="K374" s="112"/>
      <c r="L374" s="112"/>
      <c r="M374" s="112"/>
      <c r="N374" s="112"/>
    </row>
    <row r="375" spans="1:14" s="8" customFormat="1" ht="15.75" customHeight="1">
      <c r="A375" s="141" t="s">
        <v>301</v>
      </c>
      <c r="B375" s="114"/>
      <c r="C375" s="114">
        <v>213</v>
      </c>
      <c r="D375" s="114">
        <v>800000000</v>
      </c>
      <c r="E375" s="114">
        <v>119</v>
      </c>
      <c r="F375" s="114">
        <v>213</v>
      </c>
      <c r="G375" s="101" t="s">
        <v>523</v>
      </c>
      <c r="H375" s="117">
        <f t="shared" si="24"/>
        <v>5934918.67</v>
      </c>
      <c r="I375" s="124">
        <f>5413006.97+521911.7</f>
        <v>5934918.67</v>
      </c>
      <c r="J375" s="124"/>
      <c r="K375" s="112"/>
      <c r="L375" s="112"/>
      <c r="M375" s="112"/>
      <c r="N375" s="112"/>
    </row>
    <row r="376" spans="1:14" s="8" customFormat="1" ht="15.75" customHeight="1">
      <c r="A376" s="141" t="s">
        <v>301</v>
      </c>
      <c r="B376" s="486"/>
      <c r="C376" s="488">
        <v>213</v>
      </c>
      <c r="D376" s="488">
        <v>800000000</v>
      </c>
      <c r="E376" s="488">
        <v>119</v>
      </c>
      <c r="F376" s="488">
        <v>213</v>
      </c>
      <c r="G376" s="489" t="s">
        <v>826</v>
      </c>
      <c r="H376" s="490">
        <f t="shared" si="24"/>
        <v>2485956.18</v>
      </c>
      <c r="I376" s="485">
        <v>2485956.18</v>
      </c>
      <c r="J376" s="124"/>
      <c r="K376" s="112"/>
      <c r="L376" s="112"/>
      <c r="M376" s="112"/>
      <c r="N376" s="112"/>
    </row>
    <row r="377" spans="1:14" s="8" customFormat="1" ht="15.75" customHeight="1">
      <c r="A377" s="141" t="s">
        <v>301</v>
      </c>
      <c r="B377" s="486"/>
      <c r="C377" s="488">
        <v>213</v>
      </c>
      <c r="D377" s="488">
        <v>800000000</v>
      </c>
      <c r="E377" s="488">
        <v>119</v>
      </c>
      <c r="F377" s="488">
        <v>213</v>
      </c>
      <c r="G377" s="489" t="s">
        <v>523</v>
      </c>
      <c r="H377" s="490">
        <f t="shared" si="24"/>
        <v>0</v>
      </c>
      <c r="I377" s="485"/>
      <c r="J377" s="124"/>
      <c r="K377" s="112"/>
      <c r="L377" s="112"/>
      <c r="M377" s="112"/>
      <c r="N377" s="112"/>
    </row>
    <row r="378" spans="1:14" s="8" customFormat="1" ht="15.75" customHeight="1">
      <c r="A378" s="141" t="s">
        <v>301</v>
      </c>
      <c r="B378" s="486"/>
      <c r="C378" s="488">
        <v>213</v>
      </c>
      <c r="D378" s="488">
        <v>901480000</v>
      </c>
      <c r="E378" s="488">
        <v>119</v>
      </c>
      <c r="F378" s="488">
        <v>213</v>
      </c>
      <c r="G378" s="499" t="s">
        <v>523</v>
      </c>
      <c r="H378" s="490">
        <f t="shared" si="24"/>
        <v>84518.32</v>
      </c>
      <c r="I378" s="484">
        <v>0</v>
      </c>
      <c r="J378" s="485">
        <v>84518.32</v>
      </c>
      <c r="K378" s="112"/>
      <c r="L378" s="112"/>
      <c r="M378" s="112"/>
      <c r="N378" s="112"/>
    </row>
    <row r="379" spans="1:14" s="8" customFormat="1" ht="15.75" customHeight="1">
      <c r="A379" s="141" t="s">
        <v>301</v>
      </c>
      <c r="B379" s="486"/>
      <c r="C379" s="488">
        <v>213</v>
      </c>
      <c r="D379" s="488">
        <v>901160000</v>
      </c>
      <c r="E379" s="488">
        <v>119</v>
      </c>
      <c r="F379" s="488">
        <v>213</v>
      </c>
      <c r="G379" s="499" t="s">
        <v>523</v>
      </c>
      <c r="H379" s="490">
        <f t="shared" si="24"/>
        <v>29514.82</v>
      </c>
      <c r="I379" s="484">
        <v>0</v>
      </c>
      <c r="J379" s="485">
        <v>29514.82</v>
      </c>
      <c r="K379" s="112"/>
      <c r="L379" s="112"/>
      <c r="M379" s="112"/>
      <c r="N379" s="112"/>
    </row>
    <row r="380" spans="1:14" s="8" customFormat="1" ht="15.75" customHeight="1">
      <c r="A380" s="141" t="s">
        <v>301</v>
      </c>
      <c r="B380" s="486"/>
      <c r="C380" s="488">
        <v>213</v>
      </c>
      <c r="D380" s="488">
        <v>901830000</v>
      </c>
      <c r="E380" s="488">
        <v>119</v>
      </c>
      <c r="F380" s="488">
        <v>213</v>
      </c>
      <c r="G380" s="499" t="s">
        <v>523</v>
      </c>
      <c r="H380" s="490">
        <f t="shared" si="24"/>
        <v>15446.66</v>
      </c>
      <c r="I380" s="484">
        <v>0</v>
      </c>
      <c r="J380" s="485">
        <v>15446.66</v>
      </c>
      <c r="K380" s="112"/>
      <c r="L380" s="112"/>
      <c r="M380" s="112"/>
      <c r="N380" s="112"/>
    </row>
    <row r="381" spans="1:14" s="8" customFormat="1" ht="15.75" customHeight="1">
      <c r="A381" s="141" t="s">
        <v>301</v>
      </c>
      <c r="B381" s="486"/>
      <c r="C381" s="486">
        <v>213</v>
      </c>
      <c r="D381" s="487" t="s">
        <v>521</v>
      </c>
      <c r="E381" s="486">
        <v>119</v>
      </c>
      <c r="F381" s="486">
        <v>213</v>
      </c>
      <c r="G381" s="493" t="s">
        <v>530</v>
      </c>
      <c r="H381" s="490">
        <f t="shared" si="24"/>
        <v>1013794.0900000001</v>
      </c>
      <c r="I381" s="484">
        <v>0</v>
      </c>
      <c r="J381" s="484">
        <v>0</v>
      </c>
      <c r="K381" s="498">
        <v>0</v>
      </c>
      <c r="L381" s="498">
        <v>0</v>
      </c>
      <c r="M381" s="495">
        <f>370946.69+642847.4</f>
        <v>1013794.0900000001</v>
      </c>
      <c r="N381" s="112"/>
    </row>
    <row r="382" spans="1:14" s="8" customFormat="1" ht="15.75" customHeight="1" hidden="1">
      <c r="A382" s="141" t="s">
        <v>301</v>
      </c>
      <c r="B382" s="114"/>
      <c r="C382" s="114">
        <v>213</v>
      </c>
      <c r="D382" s="115" t="s">
        <v>521</v>
      </c>
      <c r="E382" s="114">
        <v>119</v>
      </c>
      <c r="F382" s="114">
        <v>213</v>
      </c>
      <c r="G382" s="101" t="s">
        <v>530</v>
      </c>
      <c r="H382" s="117">
        <f>SUM(I382:M382)</f>
        <v>0</v>
      </c>
      <c r="I382" s="124"/>
      <c r="J382" s="124"/>
      <c r="K382" s="112"/>
      <c r="L382" s="112"/>
      <c r="M382" s="112"/>
      <c r="N382" s="112"/>
    </row>
    <row r="383" spans="1:14" s="8" customFormat="1" ht="24.75" customHeight="1">
      <c r="A383" s="141" t="s">
        <v>399</v>
      </c>
      <c r="B383" s="114">
        <v>220</v>
      </c>
      <c r="C383" s="114"/>
      <c r="D383" s="114"/>
      <c r="E383" s="114"/>
      <c r="F383" s="114"/>
      <c r="G383" s="114"/>
      <c r="H383" s="119">
        <f>SUM(I383:M383)</f>
        <v>243906</v>
      </c>
      <c r="I383" s="112">
        <f>I385+I389+I390+I391+I392</f>
        <v>0</v>
      </c>
      <c r="J383" s="112">
        <f>SUM(J385:J390)</f>
        <v>243906</v>
      </c>
      <c r="K383" s="112">
        <f>K385+K389+K390+K391+K392</f>
        <v>0</v>
      </c>
      <c r="L383" s="112">
        <f>L385+L389+L390+L391+L392</f>
        <v>0</v>
      </c>
      <c r="M383" s="112">
        <f>M385+M389+M390+M391+M392</f>
        <v>0</v>
      </c>
      <c r="N383" s="112">
        <f>N385+N389+N390+N391+N392</f>
        <v>0</v>
      </c>
    </row>
    <row r="384" spans="1:14" s="8" customFormat="1" ht="15.75" customHeight="1">
      <c r="A384" s="141" t="s">
        <v>3</v>
      </c>
      <c r="B384" s="114"/>
      <c r="C384" s="114"/>
      <c r="D384" s="114"/>
      <c r="E384" s="114"/>
      <c r="F384" s="114"/>
      <c r="G384" s="121"/>
      <c r="H384" s="117"/>
      <c r="I384" s="124"/>
      <c r="J384" s="124"/>
      <c r="K384" s="112"/>
      <c r="L384" s="112"/>
      <c r="M384" s="112"/>
      <c r="N384" s="112"/>
    </row>
    <row r="385" spans="1:14" s="8" customFormat="1" ht="39" customHeight="1">
      <c r="A385" s="142" t="s">
        <v>302</v>
      </c>
      <c r="B385" s="143"/>
      <c r="C385" s="144">
        <v>263</v>
      </c>
      <c r="D385" s="114">
        <v>901140000</v>
      </c>
      <c r="E385" s="114">
        <v>323</v>
      </c>
      <c r="F385" s="144">
        <v>263</v>
      </c>
      <c r="G385" s="145" t="s">
        <v>523</v>
      </c>
      <c r="H385" s="117">
        <f aca="true" t="shared" si="25" ref="H385:H392">I385+J385+K385+L385+M385+N385</f>
        <v>0</v>
      </c>
      <c r="I385" s="124"/>
      <c r="J385" s="124">
        <v>0</v>
      </c>
      <c r="K385" s="112"/>
      <c r="L385" s="112"/>
      <c r="M385" s="112"/>
      <c r="N385" s="112"/>
    </row>
    <row r="386" spans="1:14" s="8" customFormat="1" ht="39" customHeight="1">
      <c r="A386" s="113" t="s">
        <v>834</v>
      </c>
      <c r="B386" s="486"/>
      <c r="C386" s="488">
        <v>263</v>
      </c>
      <c r="D386" s="488">
        <v>901140000</v>
      </c>
      <c r="E386" s="488">
        <v>323</v>
      </c>
      <c r="F386" s="488">
        <v>263</v>
      </c>
      <c r="G386" s="499" t="s">
        <v>523</v>
      </c>
      <c r="H386" s="490">
        <f t="shared" si="25"/>
        <v>56596</v>
      </c>
      <c r="I386" s="484">
        <v>0</v>
      </c>
      <c r="J386" s="485">
        <v>56596</v>
      </c>
      <c r="K386" s="112"/>
      <c r="L386" s="112"/>
      <c r="M386" s="112"/>
      <c r="N386" s="112"/>
    </row>
    <row r="387" spans="1:14" s="8" customFormat="1" ht="39" customHeight="1">
      <c r="A387" s="113" t="s">
        <v>836</v>
      </c>
      <c r="B387" s="486"/>
      <c r="C387" s="488">
        <v>263</v>
      </c>
      <c r="D387" s="488">
        <v>901150000</v>
      </c>
      <c r="E387" s="488">
        <v>323</v>
      </c>
      <c r="F387" s="488">
        <v>263</v>
      </c>
      <c r="G387" s="499" t="s">
        <v>523</v>
      </c>
      <c r="H387" s="490">
        <f t="shared" si="25"/>
        <v>67915</v>
      </c>
      <c r="I387" s="484">
        <v>0</v>
      </c>
      <c r="J387" s="485">
        <v>67915</v>
      </c>
      <c r="K387" s="112"/>
      <c r="L387" s="112"/>
      <c r="M387" s="112"/>
      <c r="N387" s="112"/>
    </row>
    <row r="388" spans="1:14" s="8" customFormat="1" ht="39" customHeight="1">
      <c r="A388" s="113" t="s">
        <v>241</v>
      </c>
      <c r="B388" s="486"/>
      <c r="C388" s="488">
        <v>263</v>
      </c>
      <c r="D388" s="501">
        <v>901210000</v>
      </c>
      <c r="E388" s="488">
        <v>323</v>
      </c>
      <c r="F388" s="488">
        <v>263</v>
      </c>
      <c r="G388" s="491" t="s">
        <v>518</v>
      </c>
      <c r="H388" s="490">
        <f t="shared" si="25"/>
        <v>105533</v>
      </c>
      <c r="I388" s="484">
        <v>0</v>
      </c>
      <c r="J388" s="485">
        <v>105533</v>
      </c>
      <c r="K388" s="112"/>
      <c r="L388" s="112"/>
      <c r="M388" s="112"/>
      <c r="N388" s="112"/>
    </row>
    <row r="389" spans="1:14" s="8" customFormat="1" ht="33.75" customHeight="1">
      <c r="A389" s="135" t="s">
        <v>39</v>
      </c>
      <c r="B389" s="114"/>
      <c r="C389" s="114">
        <v>262</v>
      </c>
      <c r="D389" s="114">
        <v>901140000</v>
      </c>
      <c r="E389" s="114">
        <v>321</v>
      </c>
      <c r="F389" s="114">
        <v>262</v>
      </c>
      <c r="G389" s="145" t="s">
        <v>523</v>
      </c>
      <c r="H389" s="117">
        <f t="shared" si="25"/>
        <v>13862</v>
      </c>
      <c r="I389" s="124"/>
      <c r="J389" s="159">
        <v>13862</v>
      </c>
      <c r="K389" s="112"/>
      <c r="L389" s="112"/>
      <c r="M389" s="112"/>
      <c r="N389" s="112"/>
    </row>
    <row r="390" spans="1:14" s="8" customFormat="1" ht="15.75" customHeight="1">
      <c r="A390" s="135" t="s">
        <v>303</v>
      </c>
      <c r="B390" s="114"/>
      <c r="C390" s="114"/>
      <c r="D390" s="114"/>
      <c r="E390" s="114"/>
      <c r="F390" s="114"/>
      <c r="G390" s="121"/>
      <c r="H390" s="117">
        <f t="shared" si="25"/>
        <v>0</v>
      </c>
      <c r="I390" s="124"/>
      <c r="J390" s="124"/>
      <c r="K390" s="112"/>
      <c r="L390" s="112"/>
      <c r="M390" s="112"/>
      <c r="N390" s="112"/>
    </row>
    <row r="391" spans="1:14" s="8" customFormat="1" ht="15.75" customHeight="1">
      <c r="A391" s="135" t="s">
        <v>304</v>
      </c>
      <c r="B391" s="114"/>
      <c r="C391" s="114">
        <v>290</v>
      </c>
      <c r="D391" s="114"/>
      <c r="E391" s="114">
        <v>350</v>
      </c>
      <c r="F391" s="114">
        <v>290</v>
      </c>
      <c r="G391" s="121"/>
      <c r="H391" s="117">
        <f t="shared" si="25"/>
        <v>0</v>
      </c>
      <c r="I391" s="124"/>
      <c r="J391" s="124"/>
      <c r="K391" s="112"/>
      <c r="L391" s="112"/>
      <c r="M391" s="112"/>
      <c r="N391" s="112"/>
    </row>
    <row r="392" spans="1:14" s="8" customFormat="1" ht="15.75" customHeight="1">
      <c r="A392" s="135" t="s">
        <v>305</v>
      </c>
      <c r="B392" s="114"/>
      <c r="C392" s="114"/>
      <c r="D392" s="114"/>
      <c r="E392" s="114"/>
      <c r="F392" s="114"/>
      <c r="G392" s="121"/>
      <c r="H392" s="117">
        <f t="shared" si="25"/>
        <v>0</v>
      </c>
      <c r="I392" s="124"/>
      <c r="J392" s="124"/>
      <c r="K392" s="112"/>
      <c r="L392" s="112"/>
      <c r="M392" s="112"/>
      <c r="N392" s="112"/>
    </row>
    <row r="393" spans="1:14" s="8" customFormat="1" ht="24.75" customHeight="1">
      <c r="A393" s="135" t="s">
        <v>306</v>
      </c>
      <c r="B393" s="114">
        <v>230</v>
      </c>
      <c r="C393" s="114"/>
      <c r="D393" s="114"/>
      <c r="E393" s="114"/>
      <c r="F393" s="114"/>
      <c r="G393" s="121"/>
      <c r="H393" s="117">
        <f aca="true" t="shared" si="26" ref="H393:N393">H394+H397</f>
        <v>4441633</v>
      </c>
      <c r="I393" s="124">
        <f t="shared" si="26"/>
        <v>4041887</v>
      </c>
      <c r="J393" s="124">
        <f t="shared" si="26"/>
        <v>0</v>
      </c>
      <c r="K393" s="124">
        <f t="shared" si="26"/>
        <v>0</v>
      </c>
      <c r="L393" s="124">
        <f t="shared" si="26"/>
        <v>0</v>
      </c>
      <c r="M393" s="124">
        <f t="shared" si="26"/>
        <v>399746</v>
      </c>
      <c r="N393" s="124">
        <f t="shared" si="26"/>
        <v>0</v>
      </c>
    </row>
    <row r="394" spans="1:14" s="8" customFormat="1" ht="15.75" customHeight="1">
      <c r="A394" s="141" t="s">
        <v>3</v>
      </c>
      <c r="B394" s="114"/>
      <c r="C394" s="114"/>
      <c r="D394" s="114"/>
      <c r="E394" s="114"/>
      <c r="F394" s="114"/>
      <c r="G394" s="121"/>
      <c r="H394" s="117">
        <f aca="true" t="shared" si="27" ref="H394:N394">H395+H396</f>
        <v>4441633</v>
      </c>
      <c r="I394" s="124">
        <f t="shared" si="27"/>
        <v>4041887</v>
      </c>
      <c r="J394" s="124">
        <f t="shared" si="27"/>
        <v>0</v>
      </c>
      <c r="K394" s="124">
        <f t="shared" si="27"/>
        <v>0</v>
      </c>
      <c r="L394" s="124">
        <f t="shared" si="27"/>
        <v>0</v>
      </c>
      <c r="M394" s="124">
        <f t="shared" si="27"/>
        <v>399746</v>
      </c>
      <c r="N394" s="124">
        <f t="shared" si="27"/>
        <v>0</v>
      </c>
    </row>
    <row r="395" spans="1:14" s="8" customFormat="1" ht="15.75" customHeight="1">
      <c r="A395" s="141" t="s">
        <v>307</v>
      </c>
      <c r="B395" s="114"/>
      <c r="C395" s="114">
        <v>290</v>
      </c>
      <c r="D395" s="114"/>
      <c r="E395" s="114">
        <v>831</v>
      </c>
      <c r="F395" s="114">
        <v>290</v>
      </c>
      <c r="G395" s="121"/>
      <c r="H395" s="117">
        <f>I395+J395+K395+L395+M395+N395</f>
        <v>0</v>
      </c>
      <c r="I395" s="124"/>
      <c r="J395" s="124"/>
      <c r="K395" s="112"/>
      <c r="L395" s="112"/>
      <c r="M395" s="112"/>
      <c r="N395" s="112"/>
    </row>
    <row r="396" spans="1:14" s="8" customFormat="1" ht="15.75" customHeight="1">
      <c r="A396" s="141" t="s">
        <v>308</v>
      </c>
      <c r="B396" s="114"/>
      <c r="C396" s="114">
        <v>290</v>
      </c>
      <c r="D396" s="114"/>
      <c r="E396" s="114">
        <v>850</v>
      </c>
      <c r="F396" s="114">
        <v>290</v>
      </c>
      <c r="G396" s="121"/>
      <c r="H396" s="117">
        <f>I396+J396+K396+L396+M396+N396</f>
        <v>4441633</v>
      </c>
      <c r="I396" s="124">
        <f aca="true" t="shared" si="28" ref="I396:N396">SUM(I398:I408)</f>
        <v>4041887</v>
      </c>
      <c r="J396" s="124">
        <f t="shared" si="28"/>
        <v>0</v>
      </c>
      <c r="K396" s="124">
        <f t="shared" si="28"/>
        <v>0</v>
      </c>
      <c r="L396" s="124">
        <f t="shared" si="28"/>
        <v>0</v>
      </c>
      <c r="M396" s="124">
        <f t="shared" si="28"/>
        <v>399746</v>
      </c>
      <c r="N396" s="124">
        <f t="shared" si="28"/>
        <v>0</v>
      </c>
    </row>
    <row r="397" spans="1:14" s="8" customFormat="1" ht="15.75" customHeight="1">
      <c r="A397" s="141" t="s">
        <v>4</v>
      </c>
      <c r="B397" s="114"/>
      <c r="C397" s="114"/>
      <c r="D397" s="114"/>
      <c r="E397" s="114"/>
      <c r="F397" s="114"/>
      <c r="G397" s="121"/>
      <c r="H397" s="117"/>
      <c r="I397" s="124"/>
      <c r="J397" s="124"/>
      <c r="K397" s="124"/>
      <c r="L397" s="124"/>
      <c r="M397" s="124"/>
      <c r="N397" s="124"/>
    </row>
    <row r="398" spans="1:14" s="8" customFormat="1" ht="26.25" customHeight="1">
      <c r="A398" s="141" t="s">
        <v>309</v>
      </c>
      <c r="B398" s="114"/>
      <c r="C398" s="114">
        <v>291</v>
      </c>
      <c r="D398" s="114">
        <v>800000000</v>
      </c>
      <c r="E398" s="114">
        <v>851</v>
      </c>
      <c r="F398" s="114">
        <v>291</v>
      </c>
      <c r="G398" s="101" t="s">
        <v>532</v>
      </c>
      <c r="H398" s="117">
        <f>I398+J398+K398+L398+M398+N398</f>
        <v>4041887</v>
      </c>
      <c r="I398" s="124">
        <f>2959713+1082174</f>
        <v>4041887</v>
      </c>
      <c r="J398" s="124"/>
      <c r="K398" s="112"/>
      <c r="L398" s="112"/>
      <c r="M398" s="112">
        <v>0</v>
      </c>
      <c r="N398" s="112"/>
    </row>
    <row r="399" spans="1:14" s="8" customFormat="1" ht="26.25" customHeight="1" hidden="1">
      <c r="A399" s="141" t="s">
        <v>309</v>
      </c>
      <c r="B399" s="486"/>
      <c r="C399" s="488">
        <v>291</v>
      </c>
      <c r="D399" s="488">
        <v>800000000</v>
      </c>
      <c r="E399" s="488">
        <v>851</v>
      </c>
      <c r="F399" s="488">
        <v>291</v>
      </c>
      <c r="G399" s="491" t="s">
        <v>516</v>
      </c>
      <c r="H399" s="490">
        <f>SUM(I399:N399)</f>
        <v>0</v>
      </c>
      <c r="I399" s="485"/>
      <c r="J399" s="124"/>
      <c r="K399" s="112"/>
      <c r="L399" s="112"/>
      <c r="M399" s="112"/>
      <c r="N399" s="112"/>
    </row>
    <row r="400" spans="1:14" s="8" customFormat="1" ht="26.25" customHeight="1">
      <c r="A400" s="141" t="s">
        <v>309</v>
      </c>
      <c r="B400" s="114"/>
      <c r="C400" s="114">
        <v>291</v>
      </c>
      <c r="D400" s="115" t="s">
        <v>521</v>
      </c>
      <c r="E400" s="114">
        <v>851</v>
      </c>
      <c r="F400" s="114">
        <v>291</v>
      </c>
      <c r="G400" s="101" t="s">
        <v>533</v>
      </c>
      <c r="H400" s="117">
        <f>I400+J400+K400+L400+M400+N400</f>
        <v>399746</v>
      </c>
      <c r="I400" s="124">
        <v>0</v>
      </c>
      <c r="J400" s="124"/>
      <c r="K400" s="112"/>
      <c r="L400" s="112"/>
      <c r="M400" s="112">
        <f>292718+107028</f>
        <v>399746</v>
      </c>
      <c r="N400" s="112"/>
    </row>
    <row r="401" spans="1:14" s="8" customFormat="1" ht="26.25" customHeight="1" hidden="1">
      <c r="A401" s="141" t="s">
        <v>309</v>
      </c>
      <c r="B401" s="486"/>
      <c r="C401" s="488">
        <v>291</v>
      </c>
      <c r="D401" s="487" t="s">
        <v>521</v>
      </c>
      <c r="E401" s="488">
        <v>851</v>
      </c>
      <c r="F401" s="488">
        <v>291</v>
      </c>
      <c r="G401" s="491" t="s">
        <v>530</v>
      </c>
      <c r="H401" s="490">
        <f>I401+J401+K401+L401+M401+N401</f>
        <v>0</v>
      </c>
      <c r="I401" s="484">
        <v>0</v>
      </c>
      <c r="J401" s="484">
        <v>0</v>
      </c>
      <c r="K401" s="498">
        <v>0</v>
      </c>
      <c r="L401" s="498">
        <v>0</v>
      </c>
      <c r="M401" s="496"/>
      <c r="N401" s="112"/>
    </row>
    <row r="402" spans="1:15" s="8" customFormat="1" ht="15" customHeight="1">
      <c r="A402" s="141" t="s">
        <v>357</v>
      </c>
      <c r="B402" s="114"/>
      <c r="C402" s="114">
        <v>291</v>
      </c>
      <c r="D402" s="114"/>
      <c r="E402" s="114">
        <v>852</v>
      </c>
      <c r="F402" s="114">
        <v>291</v>
      </c>
      <c r="G402" s="121"/>
      <c r="H402" s="117">
        <f aca="true" t="shared" si="29" ref="H402:H409">I402+J402+K402+L402+M402+N402</f>
        <v>0</v>
      </c>
      <c r="I402" s="124"/>
      <c r="J402" s="124"/>
      <c r="K402" s="112"/>
      <c r="L402" s="112"/>
      <c r="M402" s="112"/>
      <c r="N402" s="112"/>
      <c r="O402" s="8" t="s">
        <v>378</v>
      </c>
    </row>
    <row r="403" spans="1:15" s="8" customFormat="1" ht="15" customHeight="1">
      <c r="A403" s="141" t="s">
        <v>310</v>
      </c>
      <c r="B403" s="114"/>
      <c r="C403" s="114">
        <v>291</v>
      </c>
      <c r="D403" s="114"/>
      <c r="E403" s="114">
        <v>853</v>
      </c>
      <c r="F403" s="114">
        <v>291</v>
      </c>
      <c r="G403" s="121"/>
      <c r="H403" s="117">
        <f t="shared" si="29"/>
        <v>0</v>
      </c>
      <c r="I403" s="124"/>
      <c r="J403" s="124"/>
      <c r="K403" s="112"/>
      <c r="L403" s="112"/>
      <c r="M403" s="112"/>
      <c r="N403" s="112"/>
      <c r="O403" s="8" t="s">
        <v>379</v>
      </c>
    </row>
    <row r="404" spans="1:14" s="8" customFormat="1" ht="34.5" customHeight="1">
      <c r="A404" s="141" t="s">
        <v>358</v>
      </c>
      <c r="B404" s="114"/>
      <c r="C404" s="114">
        <v>292</v>
      </c>
      <c r="D404" s="114"/>
      <c r="E404" s="114">
        <v>853</v>
      </c>
      <c r="F404" s="114">
        <v>292</v>
      </c>
      <c r="G404" s="121"/>
      <c r="H404" s="117">
        <f t="shared" si="29"/>
        <v>0</v>
      </c>
      <c r="I404" s="124"/>
      <c r="J404" s="124"/>
      <c r="K404" s="112"/>
      <c r="L404" s="112"/>
      <c r="M404" s="112"/>
      <c r="N404" s="112"/>
    </row>
    <row r="405" spans="1:14" s="8" customFormat="1" ht="26.25" customHeight="1">
      <c r="A405" s="141" t="s">
        <v>359</v>
      </c>
      <c r="B405" s="114"/>
      <c r="C405" s="114">
        <v>293</v>
      </c>
      <c r="D405" s="114"/>
      <c r="E405" s="114">
        <v>853</v>
      </c>
      <c r="F405" s="114">
        <v>293</v>
      </c>
      <c r="G405" s="121"/>
      <c r="H405" s="117">
        <f t="shared" si="29"/>
        <v>0</v>
      </c>
      <c r="I405" s="124"/>
      <c r="J405" s="124"/>
      <c r="K405" s="112"/>
      <c r="L405" s="112"/>
      <c r="M405" s="112"/>
      <c r="N405" s="112"/>
    </row>
    <row r="406" spans="1:14" s="8" customFormat="1" ht="26.25" customHeight="1">
      <c r="A406" s="141" t="s">
        <v>360</v>
      </c>
      <c r="B406" s="114"/>
      <c r="C406" s="114">
        <v>294</v>
      </c>
      <c r="D406" s="114"/>
      <c r="E406" s="114">
        <v>853</v>
      </c>
      <c r="F406" s="114">
        <v>294</v>
      </c>
      <c r="G406" s="121"/>
      <c r="H406" s="117">
        <f t="shared" si="29"/>
        <v>0</v>
      </c>
      <c r="I406" s="124"/>
      <c r="J406" s="124"/>
      <c r="K406" s="112"/>
      <c r="L406" s="112"/>
      <c r="M406" s="112"/>
      <c r="N406" s="112"/>
    </row>
    <row r="407" spans="1:14" s="8" customFormat="1" ht="18" customHeight="1">
      <c r="A407" s="141" t="s">
        <v>361</v>
      </c>
      <c r="B407" s="114"/>
      <c r="C407" s="114">
        <v>295</v>
      </c>
      <c r="D407" s="114"/>
      <c r="E407" s="114">
        <v>853</v>
      </c>
      <c r="F407" s="114">
        <v>295</v>
      </c>
      <c r="G407" s="121"/>
      <c r="H407" s="117">
        <f t="shared" si="29"/>
        <v>0</v>
      </c>
      <c r="I407" s="124"/>
      <c r="J407" s="124"/>
      <c r="K407" s="112"/>
      <c r="L407" s="112"/>
      <c r="M407" s="112"/>
      <c r="N407" s="112"/>
    </row>
    <row r="408" spans="1:14" s="8" customFormat="1" ht="18" customHeight="1">
      <c r="A408" s="141" t="s">
        <v>362</v>
      </c>
      <c r="B408" s="114"/>
      <c r="C408" s="114">
        <v>296</v>
      </c>
      <c r="D408" s="114"/>
      <c r="E408" s="114">
        <v>853</v>
      </c>
      <c r="F408" s="114">
        <v>296</v>
      </c>
      <c r="G408" s="121"/>
      <c r="H408" s="117">
        <f t="shared" si="29"/>
        <v>0</v>
      </c>
      <c r="I408" s="124"/>
      <c r="J408" s="124"/>
      <c r="K408" s="112"/>
      <c r="L408" s="112"/>
      <c r="M408" s="112"/>
      <c r="N408" s="112"/>
    </row>
    <row r="409" spans="1:14" s="8" customFormat="1" ht="18" customHeight="1">
      <c r="A409" s="141" t="s">
        <v>311</v>
      </c>
      <c r="B409" s="114">
        <v>240</v>
      </c>
      <c r="C409" s="114"/>
      <c r="D409" s="114"/>
      <c r="E409" s="114"/>
      <c r="F409" s="114"/>
      <c r="G409" s="121"/>
      <c r="H409" s="117">
        <f t="shared" si="29"/>
        <v>0</v>
      </c>
      <c r="I409" s="124"/>
      <c r="J409" s="124"/>
      <c r="K409" s="112"/>
      <c r="L409" s="112"/>
      <c r="M409" s="112"/>
      <c r="N409" s="112"/>
    </row>
    <row r="410" spans="1:14" s="8" customFormat="1" ht="28.5" customHeight="1">
      <c r="A410" s="135" t="s">
        <v>312</v>
      </c>
      <c r="B410" s="114">
        <v>250</v>
      </c>
      <c r="C410" s="114"/>
      <c r="D410" s="114"/>
      <c r="E410" s="114"/>
      <c r="F410" s="114"/>
      <c r="G410" s="121"/>
      <c r="H410" s="117">
        <f>H412+H413</f>
        <v>0</v>
      </c>
      <c r="I410" s="124">
        <f aca="true" t="shared" si="30" ref="I410:N410">I412+I413</f>
        <v>0</v>
      </c>
      <c r="J410" s="124">
        <f t="shared" si="30"/>
        <v>0</v>
      </c>
      <c r="K410" s="124">
        <f t="shared" si="30"/>
        <v>0</v>
      </c>
      <c r="L410" s="124">
        <f t="shared" si="30"/>
        <v>0</v>
      </c>
      <c r="M410" s="124">
        <f t="shared" si="30"/>
        <v>0</v>
      </c>
      <c r="N410" s="124">
        <f t="shared" si="30"/>
        <v>0</v>
      </c>
    </row>
    <row r="411" spans="1:14" s="8" customFormat="1" ht="14.25" customHeight="1">
      <c r="A411" s="141" t="s">
        <v>4</v>
      </c>
      <c r="B411" s="114"/>
      <c r="C411" s="114"/>
      <c r="D411" s="114"/>
      <c r="E411" s="114"/>
      <c r="F411" s="114"/>
      <c r="G411" s="121"/>
      <c r="H411" s="117"/>
      <c r="I411" s="124"/>
      <c r="J411" s="124"/>
      <c r="K411" s="112"/>
      <c r="L411" s="112"/>
      <c r="M411" s="112"/>
      <c r="N411" s="112"/>
    </row>
    <row r="412" spans="1:14" s="8" customFormat="1" ht="29.25" customHeight="1">
      <c r="A412" s="135" t="s">
        <v>313</v>
      </c>
      <c r="B412" s="114"/>
      <c r="C412" s="114"/>
      <c r="D412" s="114"/>
      <c r="E412" s="114"/>
      <c r="F412" s="114"/>
      <c r="G412" s="121"/>
      <c r="H412" s="117">
        <f>I412+J412+K412+L412+M412+N412</f>
        <v>0</v>
      </c>
      <c r="I412" s="124"/>
      <c r="J412" s="124"/>
      <c r="K412" s="112"/>
      <c r="L412" s="112"/>
      <c r="M412" s="112"/>
      <c r="N412" s="112"/>
    </row>
    <row r="413" spans="1:14" s="8" customFormat="1" ht="34.5" customHeight="1">
      <c r="A413" s="141" t="s">
        <v>314</v>
      </c>
      <c r="B413" s="114"/>
      <c r="C413" s="114"/>
      <c r="D413" s="114"/>
      <c r="E413" s="114"/>
      <c r="F413" s="114"/>
      <c r="G413" s="121"/>
      <c r="H413" s="117">
        <f>I413+J413+K413+L413+M413+N413</f>
        <v>0</v>
      </c>
      <c r="I413" s="124"/>
      <c r="J413" s="124"/>
      <c r="K413" s="124"/>
      <c r="L413" s="124"/>
      <c r="M413" s="124"/>
      <c r="N413" s="112"/>
    </row>
    <row r="414" spans="1:14" s="8" customFormat="1" ht="27" customHeight="1">
      <c r="A414" s="141" t="s">
        <v>315</v>
      </c>
      <c r="B414" s="114">
        <v>260</v>
      </c>
      <c r="C414" s="114"/>
      <c r="D414" s="114"/>
      <c r="E414" s="114"/>
      <c r="F414" s="114"/>
      <c r="G414" s="121"/>
      <c r="H414" s="117">
        <f>I414+J414+M414</f>
        <v>17839467.479999997</v>
      </c>
      <c r="I414" s="124">
        <f>I416+I417+I422+I441+I442+I447+I448+I454+I466+I418+I419++I443+I444+I449+I450</f>
        <v>9084426.98</v>
      </c>
      <c r="J414" s="124">
        <f>J416+J421+J422+J440+J441+J447+J453+J454+J465+J466+J479</f>
        <v>0</v>
      </c>
      <c r="K414" s="124">
        <f>K416+K421+K422+K440+K441+K447+K453+K454+K465+K466+K479</f>
        <v>0</v>
      </c>
      <c r="L414" s="124">
        <f>L416+L421+L422+L440+L441+L447+L453+L454+L465+L466+L479</f>
        <v>0</v>
      </c>
      <c r="M414" s="124">
        <f>M416+M421+M422+M440+M441+M447+M453+M454+M465+M466+M479+M420+M445+M477+M451+M446+M452+M478</f>
        <v>8755040.499999998</v>
      </c>
      <c r="N414" s="124">
        <f>N416+N421+N422+N440+N441+N447+N453+N454+N465+N466+N479</f>
        <v>0</v>
      </c>
    </row>
    <row r="415" spans="1:14" s="40" customFormat="1" ht="15.75" customHeight="1">
      <c r="A415" s="141" t="s">
        <v>4</v>
      </c>
      <c r="B415" s="147"/>
      <c r="C415" s="114"/>
      <c r="D415" s="147"/>
      <c r="E415" s="147"/>
      <c r="F415" s="114"/>
      <c r="G415" s="121"/>
      <c r="H415" s="117"/>
      <c r="I415" s="117"/>
      <c r="J415" s="117"/>
      <c r="K415" s="117"/>
      <c r="L415" s="117"/>
      <c r="M415" s="117"/>
      <c r="N415" s="117"/>
    </row>
    <row r="416" spans="1:14" s="8" customFormat="1" ht="16.5" customHeight="1">
      <c r="A416" s="141" t="s">
        <v>316</v>
      </c>
      <c r="B416" s="114"/>
      <c r="C416" s="114">
        <v>221</v>
      </c>
      <c r="D416" s="114">
        <v>800000000</v>
      </c>
      <c r="E416" s="114">
        <v>244</v>
      </c>
      <c r="F416" s="114">
        <v>221</v>
      </c>
      <c r="G416" s="101" t="s">
        <v>531</v>
      </c>
      <c r="H416" s="117">
        <f>I416+J416+M416</f>
        <v>87600</v>
      </c>
      <c r="I416" s="124">
        <f>72000+15600</f>
        <v>87600</v>
      </c>
      <c r="J416" s="124"/>
      <c r="K416" s="112"/>
      <c r="L416" s="112"/>
      <c r="M416" s="112"/>
      <c r="N416" s="112"/>
    </row>
    <row r="417" spans="1:14" s="8" customFormat="1" ht="16.5" customHeight="1">
      <c r="A417" s="141" t="s">
        <v>316</v>
      </c>
      <c r="B417" s="114"/>
      <c r="C417" s="114">
        <v>221</v>
      </c>
      <c r="D417" s="114">
        <v>800000000</v>
      </c>
      <c r="E417" s="114">
        <v>244</v>
      </c>
      <c r="F417" s="114">
        <v>221</v>
      </c>
      <c r="G417" s="101" t="s">
        <v>532</v>
      </c>
      <c r="H417" s="117">
        <f>I417+J417+M417</f>
        <v>32000.1</v>
      </c>
      <c r="I417" s="124">
        <v>32000.1</v>
      </c>
      <c r="J417" s="124"/>
      <c r="K417" s="112"/>
      <c r="L417" s="112"/>
      <c r="M417" s="112"/>
      <c r="N417" s="112"/>
    </row>
    <row r="418" spans="1:14" s="8" customFormat="1" ht="16.5" customHeight="1" hidden="1">
      <c r="A418" s="141" t="s">
        <v>316</v>
      </c>
      <c r="B418" s="486"/>
      <c r="C418" s="488">
        <v>221</v>
      </c>
      <c r="D418" s="488">
        <v>800000000</v>
      </c>
      <c r="E418" s="488">
        <v>244</v>
      </c>
      <c r="F418" s="488">
        <v>221</v>
      </c>
      <c r="G418" s="489" t="s">
        <v>531</v>
      </c>
      <c r="H418" s="490">
        <f>I418+J418+K418+L418+M418+N418</f>
        <v>0</v>
      </c>
      <c r="I418" s="485"/>
      <c r="J418" s="124"/>
      <c r="K418" s="112"/>
      <c r="L418" s="112"/>
      <c r="M418" s="112"/>
      <c r="N418" s="112"/>
    </row>
    <row r="419" spans="1:14" s="8" customFormat="1" ht="16.5" customHeight="1">
      <c r="A419" s="141" t="s">
        <v>827</v>
      </c>
      <c r="B419" s="486"/>
      <c r="C419" s="488">
        <v>221</v>
      </c>
      <c r="D419" s="488">
        <v>800000000</v>
      </c>
      <c r="E419" s="488">
        <v>244</v>
      </c>
      <c r="F419" s="488">
        <v>221</v>
      </c>
      <c r="G419" s="492" t="s">
        <v>828</v>
      </c>
      <c r="H419" s="490">
        <f>I419+J419+K419+L419+M419+N419</f>
        <v>45806.4</v>
      </c>
      <c r="I419" s="485">
        <v>45806.4</v>
      </c>
      <c r="J419" s="124"/>
      <c r="K419" s="112"/>
      <c r="L419" s="112"/>
      <c r="M419" s="112"/>
      <c r="N419" s="112"/>
    </row>
    <row r="420" spans="1:14" s="8" customFormat="1" ht="16.5" customHeight="1">
      <c r="A420" s="141" t="s">
        <v>316</v>
      </c>
      <c r="B420" s="114"/>
      <c r="C420" s="114">
        <v>221</v>
      </c>
      <c r="D420" s="115" t="s">
        <v>521</v>
      </c>
      <c r="E420" s="114">
        <v>244</v>
      </c>
      <c r="F420" s="114">
        <v>221</v>
      </c>
      <c r="G420" s="101" t="s">
        <v>533</v>
      </c>
      <c r="H420" s="117">
        <f>I420+J420+M420</f>
        <v>2909.1</v>
      </c>
      <c r="I420" s="124">
        <v>0</v>
      </c>
      <c r="J420" s="124"/>
      <c r="K420" s="112"/>
      <c r="L420" s="112"/>
      <c r="M420" s="112">
        <v>2909.1</v>
      </c>
      <c r="N420" s="112"/>
    </row>
    <row r="421" spans="1:14" s="8" customFormat="1" ht="15.75" customHeight="1">
      <c r="A421" s="141" t="s">
        <v>317</v>
      </c>
      <c r="B421" s="114"/>
      <c r="C421" s="114">
        <v>222</v>
      </c>
      <c r="D421" s="114"/>
      <c r="E421" s="114"/>
      <c r="F421" s="114">
        <v>222</v>
      </c>
      <c r="G421" s="121"/>
      <c r="H421" s="117">
        <f>I421+J421+K421+L421+M421+N421</f>
        <v>0</v>
      </c>
      <c r="I421" s="124"/>
      <c r="J421" s="124"/>
      <c r="K421" s="112"/>
      <c r="L421" s="112"/>
      <c r="M421" s="112"/>
      <c r="N421" s="112"/>
    </row>
    <row r="422" spans="1:14" s="8" customFormat="1" ht="14.25" customHeight="1">
      <c r="A422" s="141" t="s">
        <v>318</v>
      </c>
      <c r="B422" s="114"/>
      <c r="C422" s="114">
        <v>223</v>
      </c>
      <c r="D422" s="114"/>
      <c r="E422" s="114"/>
      <c r="F422" s="114">
        <v>223</v>
      </c>
      <c r="G422" s="121"/>
      <c r="H422" s="117">
        <f>I422+J422+M422</f>
        <v>3447560.04</v>
      </c>
      <c r="I422" s="124">
        <f>SUM(I424:I433)</f>
        <v>3142082.57</v>
      </c>
      <c r="J422" s="124">
        <f>J424+J427+J428+J431</f>
        <v>0</v>
      </c>
      <c r="K422" s="124">
        <f>K424+K427+K428+K431</f>
        <v>0</v>
      </c>
      <c r="L422" s="124">
        <f>L424+L427+L428+L431</f>
        <v>0</v>
      </c>
      <c r="M422" s="124">
        <f>SUM(M424:M439)</f>
        <v>305477.47000000003</v>
      </c>
      <c r="N422" s="124">
        <f>N424+N427+N428+N431</f>
        <v>0</v>
      </c>
    </row>
    <row r="423" spans="1:14" s="8" customFormat="1" ht="12.75">
      <c r="A423" s="141" t="s">
        <v>4</v>
      </c>
      <c r="B423" s="114"/>
      <c r="C423" s="114"/>
      <c r="D423" s="114"/>
      <c r="E423" s="114"/>
      <c r="F423" s="114"/>
      <c r="G423" s="121"/>
      <c r="H423" s="117"/>
      <c r="I423" s="124"/>
      <c r="J423" s="124"/>
      <c r="K423" s="112"/>
      <c r="L423" s="112"/>
      <c r="M423" s="112"/>
      <c r="N423" s="112"/>
    </row>
    <row r="424" spans="1:14" s="8" customFormat="1" ht="15" customHeight="1">
      <c r="A424" s="141" t="s">
        <v>319</v>
      </c>
      <c r="B424" s="114"/>
      <c r="C424" s="114"/>
      <c r="D424" s="114">
        <v>800000000</v>
      </c>
      <c r="E424" s="114"/>
      <c r="F424" s="114"/>
      <c r="G424" s="101" t="s">
        <v>532</v>
      </c>
      <c r="H424" s="117">
        <f aca="true" t="shared" si="31" ref="H424:H454">I424+J424+K424+L424+M424+N424</f>
        <v>1604461.97</v>
      </c>
      <c r="I424" s="124">
        <f>1246845.97+357616</f>
        <v>1604461.97</v>
      </c>
      <c r="J424" s="124"/>
      <c r="K424" s="112"/>
      <c r="L424" s="112"/>
      <c r="M424" s="112">
        <v>0</v>
      </c>
      <c r="N424" s="112"/>
    </row>
    <row r="425" spans="1:14" s="8" customFormat="1" ht="15" customHeight="1">
      <c r="A425" s="141" t="s">
        <v>319</v>
      </c>
      <c r="B425" s="486"/>
      <c r="C425" s="486">
        <v>223</v>
      </c>
      <c r="D425" s="488">
        <v>800000000</v>
      </c>
      <c r="E425" s="486">
        <v>244</v>
      </c>
      <c r="F425" s="486">
        <v>223</v>
      </c>
      <c r="G425" s="492" t="s">
        <v>828</v>
      </c>
      <c r="H425" s="490">
        <f>I425+J425+K425+L425+M425+N425</f>
        <v>459884</v>
      </c>
      <c r="I425" s="485">
        <v>459884</v>
      </c>
      <c r="J425" s="124"/>
      <c r="K425" s="112"/>
      <c r="L425" s="112"/>
      <c r="M425" s="112"/>
      <c r="N425" s="112"/>
    </row>
    <row r="426" spans="1:14" s="8" customFormat="1" ht="15" customHeight="1">
      <c r="A426" s="141" t="s">
        <v>319</v>
      </c>
      <c r="B426" s="486"/>
      <c r="C426" s="486">
        <v>223</v>
      </c>
      <c r="D426" s="488">
        <v>800000000</v>
      </c>
      <c r="E426" s="486">
        <v>244</v>
      </c>
      <c r="F426" s="486">
        <v>223</v>
      </c>
      <c r="G426" s="493" t="s">
        <v>532</v>
      </c>
      <c r="H426" s="490">
        <f>I426+J426+K426+L426+M426+N426</f>
        <v>0</v>
      </c>
      <c r="I426" s="485"/>
      <c r="J426" s="124"/>
      <c r="K426" s="112"/>
      <c r="L426" s="112"/>
      <c r="M426" s="112"/>
      <c r="N426" s="112"/>
    </row>
    <row r="427" spans="1:14" s="8" customFormat="1" ht="15" customHeight="1">
      <c r="A427" s="141" t="s">
        <v>320</v>
      </c>
      <c r="B427" s="114"/>
      <c r="C427" s="114"/>
      <c r="D427" s="114">
        <v>800000000</v>
      </c>
      <c r="E427" s="114"/>
      <c r="F427" s="114"/>
      <c r="G427" s="101" t="s">
        <v>532</v>
      </c>
      <c r="H427" s="117">
        <f t="shared" si="31"/>
        <v>0</v>
      </c>
      <c r="I427" s="124">
        <v>0</v>
      </c>
      <c r="J427" s="124"/>
      <c r="K427" s="112"/>
      <c r="L427" s="112"/>
      <c r="M427" s="112"/>
      <c r="N427" s="112"/>
    </row>
    <row r="428" spans="1:14" s="8" customFormat="1" ht="15" customHeight="1">
      <c r="A428" s="141" t="s">
        <v>321</v>
      </c>
      <c r="B428" s="114"/>
      <c r="C428" s="114"/>
      <c r="D428" s="114">
        <v>800000000</v>
      </c>
      <c r="E428" s="114"/>
      <c r="F428" s="114"/>
      <c r="G428" s="101" t="s">
        <v>532</v>
      </c>
      <c r="H428" s="117">
        <f t="shared" si="31"/>
        <v>568356.6799999999</v>
      </c>
      <c r="I428" s="124">
        <f>470359.68+97997</f>
        <v>568356.6799999999</v>
      </c>
      <c r="J428" s="124"/>
      <c r="K428" s="112"/>
      <c r="L428" s="112"/>
      <c r="M428" s="112"/>
      <c r="N428" s="112"/>
    </row>
    <row r="429" spans="1:14" s="8" customFormat="1" ht="15" customHeight="1">
      <c r="A429" s="141" t="s">
        <v>321</v>
      </c>
      <c r="B429" s="486"/>
      <c r="C429" s="486">
        <v>223</v>
      </c>
      <c r="D429" s="488">
        <v>800000000</v>
      </c>
      <c r="E429" s="486">
        <v>244</v>
      </c>
      <c r="F429" s="486">
        <v>223</v>
      </c>
      <c r="G429" s="492" t="s">
        <v>828</v>
      </c>
      <c r="H429" s="490">
        <f>I429+J429+K429+L429+M429+N429</f>
        <v>240227</v>
      </c>
      <c r="I429" s="485">
        <v>240227</v>
      </c>
      <c r="J429" s="124"/>
      <c r="K429" s="112"/>
      <c r="L429" s="112"/>
      <c r="M429" s="112"/>
      <c r="N429" s="112"/>
    </row>
    <row r="430" spans="1:14" s="8" customFormat="1" ht="15" customHeight="1">
      <c r="A430" s="141" t="s">
        <v>321</v>
      </c>
      <c r="B430" s="486"/>
      <c r="C430" s="486">
        <v>223</v>
      </c>
      <c r="D430" s="488">
        <v>800000000</v>
      </c>
      <c r="E430" s="486">
        <v>244</v>
      </c>
      <c r="F430" s="486">
        <v>223</v>
      </c>
      <c r="G430" s="493" t="s">
        <v>532</v>
      </c>
      <c r="H430" s="490">
        <f>I430+J430+K430+L430+M430+N430</f>
        <v>0</v>
      </c>
      <c r="I430" s="485"/>
      <c r="J430" s="124"/>
      <c r="K430" s="112"/>
      <c r="L430" s="112"/>
      <c r="M430" s="112"/>
      <c r="N430" s="112"/>
    </row>
    <row r="431" spans="1:14" s="8" customFormat="1" ht="15" customHeight="1">
      <c r="A431" s="141" t="s">
        <v>322</v>
      </c>
      <c r="B431" s="114"/>
      <c r="C431" s="114"/>
      <c r="D431" s="114">
        <v>800000000</v>
      </c>
      <c r="E431" s="114"/>
      <c r="F431" s="114"/>
      <c r="G431" s="101" t="s">
        <v>532</v>
      </c>
      <c r="H431" s="117">
        <f t="shared" si="31"/>
        <v>148192.91999999998</v>
      </c>
      <c r="I431" s="124">
        <f>125152.92+23040</f>
        <v>148192.91999999998</v>
      </c>
      <c r="J431" s="124"/>
      <c r="K431" s="112"/>
      <c r="L431" s="112"/>
      <c r="M431" s="112"/>
      <c r="N431" s="112"/>
    </row>
    <row r="432" spans="1:14" s="8" customFormat="1" ht="15" customHeight="1">
      <c r="A432" s="141" t="s">
        <v>322</v>
      </c>
      <c r="B432" s="486"/>
      <c r="C432" s="486">
        <v>223</v>
      </c>
      <c r="D432" s="488">
        <v>800000000</v>
      </c>
      <c r="E432" s="486">
        <v>244</v>
      </c>
      <c r="F432" s="486">
        <v>223</v>
      </c>
      <c r="G432" s="492" t="s">
        <v>828</v>
      </c>
      <c r="H432" s="490">
        <f>I432+J432+K432+L432+M432+N432</f>
        <v>120960</v>
      </c>
      <c r="I432" s="485">
        <v>120960</v>
      </c>
      <c r="J432" s="124"/>
      <c r="K432" s="112"/>
      <c r="L432" s="112"/>
      <c r="M432" s="112"/>
      <c r="N432" s="112"/>
    </row>
    <row r="433" spans="1:14" s="8" customFormat="1" ht="15" customHeight="1">
      <c r="A433" s="141" t="s">
        <v>322</v>
      </c>
      <c r="B433" s="486"/>
      <c r="C433" s="486">
        <v>223</v>
      </c>
      <c r="D433" s="488">
        <v>800000000</v>
      </c>
      <c r="E433" s="486">
        <v>244</v>
      </c>
      <c r="F433" s="486">
        <v>223</v>
      </c>
      <c r="G433" s="493" t="s">
        <v>532</v>
      </c>
      <c r="H433" s="490">
        <f>I433+J433+K433+L433+M433+N433</f>
        <v>0</v>
      </c>
      <c r="I433" s="485"/>
      <c r="J433" s="124"/>
      <c r="K433" s="112"/>
      <c r="L433" s="112"/>
      <c r="M433" s="112"/>
      <c r="N433" s="112"/>
    </row>
    <row r="434" spans="1:14" s="8" customFormat="1" ht="15" customHeight="1">
      <c r="A434" s="141" t="s">
        <v>319</v>
      </c>
      <c r="B434" s="114"/>
      <c r="C434" s="114"/>
      <c r="D434" s="115" t="s">
        <v>521</v>
      </c>
      <c r="E434" s="114"/>
      <c r="F434" s="114"/>
      <c r="G434" s="101" t="s">
        <v>533</v>
      </c>
      <c r="H434" s="117">
        <f t="shared" si="31"/>
        <v>71801.35</v>
      </c>
      <c r="I434" s="124">
        <v>0</v>
      </c>
      <c r="J434" s="124"/>
      <c r="K434" s="112"/>
      <c r="L434" s="112"/>
      <c r="M434" s="112">
        <f>9301.35+62500</f>
        <v>71801.35</v>
      </c>
      <c r="N434" s="112"/>
    </row>
    <row r="435" spans="1:14" s="8" customFormat="1" ht="15" customHeight="1" hidden="1">
      <c r="A435" s="141" t="s">
        <v>319</v>
      </c>
      <c r="B435" s="486"/>
      <c r="C435" s="486">
        <v>223</v>
      </c>
      <c r="D435" s="487" t="s">
        <v>521</v>
      </c>
      <c r="E435" s="486">
        <v>244</v>
      </c>
      <c r="F435" s="486">
        <v>223</v>
      </c>
      <c r="G435" s="493" t="s">
        <v>533</v>
      </c>
      <c r="H435" s="490">
        <f>I435+J435+K435+L435+M435+N435</f>
        <v>0</v>
      </c>
      <c r="I435" s="484">
        <v>0</v>
      </c>
      <c r="J435" s="484">
        <v>0</v>
      </c>
      <c r="K435" s="498">
        <v>0</v>
      </c>
      <c r="L435" s="498">
        <v>0</v>
      </c>
      <c r="M435" s="496"/>
      <c r="N435" s="112"/>
    </row>
    <row r="436" spans="1:14" s="8" customFormat="1" ht="15" customHeight="1">
      <c r="A436" s="141" t="s">
        <v>321</v>
      </c>
      <c r="B436" s="114"/>
      <c r="C436" s="114"/>
      <c r="D436" s="115" t="s">
        <v>521</v>
      </c>
      <c r="E436" s="114"/>
      <c r="F436" s="114"/>
      <c r="G436" s="101" t="s">
        <v>533</v>
      </c>
      <c r="H436" s="117">
        <f t="shared" si="31"/>
        <v>175138.88</v>
      </c>
      <c r="I436" s="124">
        <v>0</v>
      </c>
      <c r="J436" s="124"/>
      <c r="K436" s="112"/>
      <c r="L436" s="112"/>
      <c r="M436" s="112">
        <f>143362.88+31776</f>
        <v>175138.88</v>
      </c>
      <c r="N436" s="112"/>
    </row>
    <row r="437" spans="1:14" s="8" customFormat="1" ht="15" customHeight="1" hidden="1">
      <c r="A437" s="141" t="s">
        <v>321</v>
      </c>
      <c r="B437" s="486"/>
      <c r="C437" s="486">
        <v>223</v>
      </c>
      <c r="D437" s="487" t="s">
        <v>521</v>
      </c>
      <c r="E437" s="486">
        <v>244</v>
      </c>
      <c r="F437" s="486">
        <v>223</v>
      </c>
      <c r="G437" s="493" t="s">
        <v>533</v>
      </c>
      <c r="H437" s="490">
        <f>I437+J437+K437+L437+M437+N437</f>
        <v>0</v>
      </c>
      <c r="I437" s="484">
        <v>0</v>
      </c>
      <c r="J437" s="484">
        <v>0</v>
      </c>
      <c r="K437" s="498">
        <v>0</v>
      </c>
      <c r="L437" s="498">
        <v>0</v>
      </c>
      <c r="M437" s="496"/>
      <c r="N437" s="112"/>
    </row>
    <row r="438" spans="1:14" s="8" customFormat="1" ht="15" customHeight="1">
      <c r="A438" s="141" t="s">
        <v>322</v>
      </c>
      <c r="B438" s="114"/>
      <c r="C438" s="114"/>
      <c r="D438" s="115" t="s">
        <v>521</v>
      </c>
      <c r="E438" s="114"/>
      <c r="F438" s="114"/>
      <c r="G438" s="101" t="s">
        <v>533</v>
      </c>
      <c r="H438" s="117">
        <f t="shared" si="31"/>
        <v>58537.24</v>
      </c>
      <c r="I438" s="124">
        <v>0</v>
      </c>
      <c r="J438" s="124"/>
      <c r="K438" s="112"/>
      <c r="L438" s="112"/>
      <c r="M438" s="112">
        <f>42537.24+16000</f>
        <v>58537.24</v>
      </c>
      <c r="N438" s="112"/>
    </row>
    <row r="439" spans="1:14" s="8" customFormat="1" ht="15" customHeight="1" hidden="1">
      <c r="A439" s="141" t="s">
        <v>322</v>
      </c>
      <c r="B439" s="486"/>
      <c r="C439" s="486">
        <v>223</v>
      </c>
      <c r="D439" s="487" t="s">
        <v>521</v>
      </c>
      <c r="E439" s="486">
        <v>244</v>
      </c>
      <c r="F439" s="486">
        <v>223</v>
      </c>
      <c r="G439" s="493" t="s">
        <v>533</v>
      </c>
      <c r="H439" s="490">
        <f>I439+J439+K439+L439+M439+N439</f>
        <v>0</v>
      </c>
      <c r="I439" s="484">
        <v>0</v>
      </c>
      <c r="J439" s="484">
        <v>0</v>
      </c>
      <c r="K439" s="498">
        <v>0</v>
      </c>
      <c r="L439" s="498">
        <v>0</v>
      </c>
      <c r="M439" s="496"/>
      <c r="N439" s="112"/>
    </row>
    <row r="440" spans="1:14" s="8" customFormat="1" ht="15" customHeight="1">
      <c r="A440" s="141" t="s">
        <v>323</v>
      </c>
      <c r="B440" s="114"/>
      <c r="C440" s="114">
        <v>224</v>
      </c>
      <c r="D440" s="114"/>
      <c r="E440" s="114"/>
      <c r="F440" s="114">
        <v>224</v>
      </c>
      <c r="G440" s="121"/>
      <c r="H440" s="117">
        <f t="shared" si="31"/>
        <v>0</v>
      </c>
      <c r="I440" s="124">
        <v>0</v>
      </c>
      <c r="J440" s="124"/>
      <c r="K440" s="112"/>
      <c r="L440" s="112"/>
      <c r="M440" s="112"/>
      <c r="N440" s="112"/>
    </row>
    <row r="441" spans="1:14" s="8" customFormat="1" ht="15" customHeight="1">
      <c r="A441" s="141" t="s">
        <v>324</v>
      </c>
      <c r="B441" s="114"/>
      <c r="C441" s="114">
        <v>225</v>
      </c>
      <c r="D441" s="114">
        <v>800000000</v>
      </c>
      <c r="E441" s="114"/>
      <c r="F441" s="114">
        <v>225</v>
      </c>
      <c r="G441" s="101" t="s">
        <v>531</v>
      </c>
      <c r="H441" s="117">
        <f t="shared" si="31"/>
        <v>132945.86</v>
      </c>
      <c r="I441" s="124">
        <v>132945.86</v>
      </c>
      <c r="J441" s="124"/>
      <c r="K441" s="112"/>
      <c r="L441" s="112"/>
      <c r="M441" s="112"/>
      <c r="N441" s="112"/>
    </row>
    <row r="442" spans="1:14" s="8" customFormat="1" ht="15" customHeight="1">
      <c r="A442" s="141" t="s">
        <v>324</v>
      </c>
      <c r="B442" s="114"/>
      <c r="C442" s="114">
        <v>225</v>
      </c>
      <c r="D442" s="114">
        <v>800000000</v>
      </c>
      <c r="E442" s="114"/>
      <c r="F442" s="114">
        <v>225</v>
      </c>
      <c r="G442" s="101" t="s">
        <v>532</v>
      </c>
      <c r="H442" s="117">
        <f t="shared" si="31"/>
        <v>2352681.11</v>
      </c>
      <c r="I442" s="124">
        <f>2200842.68+69364.53+82473.9</f>
        <v>2352681.11</v>
      </c>
      <c r="J442" s="124"/>
      <c r="K442" s="112"/>
      <c r="L442" s="112"/>
      <c r="M442" s="112"/>
      <c r="N442" s="112"/>
    </row>
    <row r="443" spans="1:14" s="8" customFormat="1" ht="15" customHeight="1">
      <c r="A443" s="141" t="s">
        <v>324</v>
      </c>
      <c r="B443" s="486"/>
      <c r="C443" s="486">
        <v>225</v>
      </c>
      <c r="D443" s="488">
        <v>800000000</v>
      </c>
      <c r="E443" s="486">
        <v>244</v>
      </c>
      <c r="F443" s="486">
        <v>225</v>
      </c>
      <c r="G443" s="492" t="s">
        <v>828</v>
      </c>
      <c r="H443" s="490">
        <f>I443+J443+K443+L443+M443+N443</f>
        <v>432987.99</v>
      </c>
      <c r="I443" s="485">
        <v>432987.99</v>
      </c>
      <c r="J443" s="124"/>
      <c r="K443" s="112"/>
      <c r="L443" s="112"/>
      <c r="M443" s="112"/>
      <c r="N443" s="112"/>
    </row>
    <row r="444" spans="1:14" s="8" customFormat="1" ht="15" customHeight="1">
      <c r="A444" s="141" t="s">
        <v>324</v>
      </c>
      <c r="B444" s="486"/>
      <c r="C444" s="486">
        <v>225</v>
      </c>
      <c r="D444" s="488">
        <v>800000000</v>
      </c>
      <c r="E444" s="486">
        <v>244</v>
      </c>
      <c r="F444" s="486">
        <v>225</v>
      </c>
      <c r="G444" s="493" t="s">
        <v>532</v>
      </c>
      <c r="H444" s="490">
        <f>I444+J444+K444+L444+M444+N444</f>
        <v>0</v>
      </c>
      <c r="I444" s="485"/>
      <c r="J444" s="124"/>
      <c r="K444" s="112"/>
      <c r="L444" s="112"/>
      <c r="M444" s="112"/>
      <c r="N444" s="112"/>
    </row>
    <row r="445" spans="1:14" s="8" customFormat="1" ht="15" customHeight="1">
      <c r="A445" s="141" t="s">
        <v>324</v>
      </c>
      <c r="B445" s="114"/>
      <c r="C445" s="114">
        <v>225</v>
      </c>
      <c r="D445" s="115" t="s">
        <v>521</v>
      </c>
      <c r="E445" s="114"/>
      <c r="F445" s="114">
        <v>225</v>
      </c>
      <c r="G445" s="101" t="s">
        <v>533</v>
      </c>
      <c r="H445" s="117">
        <f t="shared" si="31"/>
        <v>2930347.3499999996</v>
      </c>
      <c r="I445" s="124">
        <v>0</v>
      </c>
      <c r="J445" s="124"/>
      <c r="K445" s="112"/>
      <c r="L445" s="112"/>
      <c r="M445" s="112">
        <f>2600998.63+33943.32+295405.4</f>
        <v>2930347.3499999996</v>
      </c>
      <c r="N445" s="112"/>
    </row>
    <row r="446" spans="1:14" s="8" customFormat="1" ht="15" customHeight="1">
      <c r="A446" s="141" t="s">
        <v>324</v>
      </c>
      <c r="B446" s="486"/>
      <c r="C446" s="486">
        <v>225</v>
      </c>
      <c r="D446" s="487" t="s">
        <v>521</v>
      </c>
      <c r="E446" s="486">
        <v>244</v>
      </c>
      <c r="F446" s="486">
        <v>225</v>
      </c>
      <c r="G446" s="493" t="s">
        <v>533</v>
      </c>
      <c r="H446" s="490">
        <f>I446+J446+K446+L446+M446+N446</f>
        <v>0</v>
      </c>
      <c r="I446" s="484">
        <v>0</v>
      </c>
      <c r="J446" s="484">
        <v>0</v>
      </c>
      <c r="K446" s="498">
        <v>0</v>
      </c>
      <c r="L446" s="498">
        <v>0</v>
      </c>
      <c r="M446" s="496"/>
      <c r="N446" s="112"/>
    </row>
    <row r="447" spans="1:14" s="8" customFormat="1" ht="15" customHeight="1">
      <c r="A447" s="141" t="s">
        <v>325</v>
      </c>
      <c r="B447" s="114"/>
      <c r="C447" s="114">
        <v>310</v>
      </c>
      <c r="D447" s="114">
        <v>800000000</v>
      </c>
      <c r="E447" s="114"/>
      <c r="F447" s="114">
        <v>310</v>
      </c>
      <c r="G447" s="101" t="s">
        <v>531</v>
      </c>
      <c r="H447" s="117">
        <f t="shared" si="31"/>
        <v>511217</v>
      </c>
      <c r="I447" s="124">
        <f>450000+61217</f>
        <v>511217</v>
      </c>
      <c r="J447" s="124"/>
      <c r="K447" s="112"/>
      <c r="L447" s="112"/>
      <c r="M447" s="112"/>
      <c r="N447" s="112"/>
    </row>
    <row r="448" spans="1:14" s="8" customFormat="1" ht="15" customHeight="1">
      <c r="A448" s="141" t="s">
        <v>325</v>
      </c>
      <c r="B448" s="114"/>
      <c r="C448" s="114">
        <v>310</v>
      </c>
      <c r="D448" s="114">
        <v>800000000</v>
      </c>
      <c r="E448" s="114"/>
      <c r="F448" s="114">
        <v>310</v>
      </c>
      <c r="G448" s="101" t="s">
        <v>532</v>
      </c>
      <c r="H448" s="117">
        <f t="shared" si="31"/>
        <v>262999.9</v>
      </c>
      <c r="I448" s="124">
        <v>262999.9</v>
      </c>
      <c r="J448" s="124"/>
      <c r="K448" s="112"/>
      <c r="L448" s="112"/>
      <c r="M448" s="112"/>
      <c r="N448" s="112"/>
    </row>
    <row r="449" spans="1:14" s="8" customFormat="1" ht="15" customHeight="1">
      <c r="A449" s="141" t="s">
        <v>325</v>
      </c>
      <c r="B449" s="486"/>
      <c r="C449" s="486">
        <v>310</v>
      </c>
      <c r="D449" s="488">
        <v>800000000</v>
      </c>
      <c r="E449" s="486">
        <v>244</v>
      </c>
      <c r="F449" s="486">
        <v>310</v>
      </c>
      <c r="G449" s="489" t="s">
        <v>535</v>
      </c>
      <c r="H449" s="490">
        <f>I449+J449+K449+L449+M449+N449</f>
        <v>194426</v>
      </c>
      <c r="I449" s="494">
        <v>194426</v>
      </c>
      <c r="J449" s="124"/>
      <c r="K449" s="112"/>
      <c r="L449" s="112"/>
      <c r="M449" s="112"/>
      <c r="N449" s="112"/>
    </row>
    <row r="450" spans="1:14" s="8" customFormat="1" ht="15" customHeight="1">
      <c r="A450" s="141" t="s">
        <v>325</v>
      </c>
      <c r="B450" s="486"/>
      <c r="C450" s="486">
        <v>310</v>
      </c>
      <c r="D450" s="488">
        <v>800000000</v>
      </c>
      <c r="E450" s="486">
        <v>244</v>
      </c>
      <c r="F450" s="486">
        <v>310</v>
      </c>
      <c r="G450" s="489" t="s">
        <v>531</v>
      </c>
      <c r="H450" s="490">
        <f>I450+J450+K450+L450+M450+N450</f>
        <v>0</v>
      </c>
      <c r="I450" s="485"/>
      <c r="J450" s="124"/>
      <c r="K450" s="112"/>
      <c r="L450" s="112"/>
      <c r="M450" s="112"/>
      <c r="N450" s="112"/>
    </row>
    <row r="451" spans="1:14" s="8" customFormat="1" ht="15" customHeight="1">
      <c r="A451" s="141" t="s">
        <v>325</v>
      </c>
      <c r="B451" s="114"/>
      <c r="C451" s="114">
        <v>310</v>
      </c>
      <c r="D451" s="115" t="s">
        <v>521</v>
      </c>
      <c r="E451" s="114"/>
      <c r="F451" s="114">
        <v>310</v>
      </c>
      <c r="G451" s="101" t="s">
        <v>533</v>
      </c>
      <c r="H451" s="117">
        <f t="shared" si="31"/>
        <v>204248</v>
      </c>
      <c r="I451" s="124">
        <v>0</v>
      </c>
      <c r="J451" s="124"/>
      <c r="K451" s="112"/>
      <c r="L451" s="112"/>
      <c r="M451" s="112">
        <f>104248+100000</f>
        <v>204248</v>
      </c>
      <c r="N451" s="112"/>
    </row>
    <row r="452" spans="1:14" s="8" customFormat="1" ht="15" customHeight="1" hidden="1">
      <c r="A452" s="141" t="s">
        <v>325</v>
      </c>
      <c r="B452" s="486"/>
      <c r="C452" s="486">
        <v>310</v>
      </c>
      <c r="D452" s="487" t="s">
        <v>521</v>
      </c>
      <c r="E452" s="486">
        <v>244</v>
      </c>
      <c r="F452" s="486">
        <v>310</v>
      </c>
      <c r="G452" s="493" t="s">
        <v>533</v>
      </c>
      <c r="H452" s="490">
        <f>I452+J452+K452+L452+M452+N452</f>
        <v>0</v>
      </c>
      <c r="I452" s="484">
        <v>0</v>
      </c>
      <c r="J452" s="484">
        <v>0</v>
      </c>
      <c r="K452" s="498">
        <v>0</v>
      </c>
      <c r="L452" s="498">
        <v>0</v>
      </c>
      <c r="M452" s="496"/>
      <c r="N452" s="112"/>
    </row>
    <row r="453" spans="1:14" s="8" customFormat="1" ht="15" customHeight="1">
      <c r="A453" s="141" t="s">
        <v>326</v>
      </c>
      <c r="B453" s="114"/>
      <c r="C453" s="114">
        <v>320</v>
      </c>
      <c r="D453" s="114"/>
      <c r="E453" s="114"/>
      <c r="F453" s="114">
        <v>320</v>
      </c>
      <c r="G453" s="121"/>
      <c r="H453" s="117">
        <f t="shared" si="31"/>
        <v>0</v>
      </c>
      <c r="I453" s="124">
        <v>0</v>
      </c>
      <c r="J453" s="124"/>
      <c r="K453" s="112"/>
      <c r="L453" s="112"/>
      <c r="M453" s="112"/>
      <c r="N453" s="112"/>
    </row>
    <row r="454" spans="1:14" s="8" customFormat="1" ht="15" customHeight="1">
      <c r="A454" s="141" t="s">
        <v>327</v>
      </c>
      <c r="B454" s="114"/>
      <c r="C454" s="114">
        <v>340</v>
      </c>
      <c r="D454" s="114"/>
      <c r="E454" s="114"/>
      <c r="F454" s="114">
        <v>340</v>
      </c>
      <c r="G454" s="121"/>
      <c r="H454" s="117">
        <f t="shared" si="31"/>
        <v>5014408.15</v>
      </c>
      <c r="I454" s="124">
        <f>I455+I456+I457+I458+I460+I461+I462</f>
        <v>654364.15</v>
      </c>
      <c r="J454" s="124">
        <f>J455+J456+J457+J458+J460</f>
        <v>0</v>
      </c>
      <c r="K454" s="124">
        <f>K455+K456+K457+K458+K460</f>
        <v>0</v>
      </c>
      <c r="L454" s="124">
        <f>L455+L456+L457+L458+L460</f>
        <v>0</v>
      </c>
      <c r="M454" s="124">
        <f>M455+M456+M457+M458++M459+M463+M464</f>
        <v>4360044</v>
      </c>
      <c r="N454" s="124">
        <f>N455+N456+N457+N458+N460</f>
        <v>0</v>
      </c>
    </row>
    <row r="455" spans="1:14" s="8" customFormat="1" ht="15" customHeight="1">
      <c r="A455" s="141" t="s">
        <v>4</v>
      </c>
      <c r="B455" s="114"/>
      <c r="C455" s="114"/>
      <c r="D455" s="114"/>
      <c r="E455" s="114"/>
      <c r="F455" s="114"/>
      <c r="G455" s="121"/>
      <c r="H455" s="117"/>
      <c r="I455" s="124"/>
      <c r="J455" s="124"/>
      <c r="K455" s="112"/>
      <c r="L455" s="112"/>
      <c r="M455" s="112"/>
      <c r="N455" s="112"/>
    </row>
    <row r="456" spans="1:14" s="8" customFormat="1" ht="15" customHeight="1">
      <c r="A456" s="141" t="s">
        <v>328</v>
      </c>
      <c r="B456" s="486"/>
      <c r="C456" s="486">
        <v>340</v>
      </c>
      <c r="D456" s="488">
        <v>800000000</v>
      </c>
      <c r="E456" s="486">
        <v>244</v>
      </c>
      <c r="F456" s="486">
        <v>341</v>
      </c>
      <c r="G456" s="492" t="s">
        <v>828</v>
      </c>
      <c r="H456" s="490">
        <f aca="true" t="shared" si="32" ref="H456:H464">I456+J456+K456+L456+M456+N456</f>
        <v>7000</v>
      </c>
      <c r="I456" s="485">
        <v>7000</v>
      </c>
      <c r="J456" s="124"/>
      <c r="K456" s="112"/>
      <c r="L456" s="112"/>
      <c r="M456" s="112"/>
      <c r="N456" s="112"/>
    </row>
    <row r="457" spans="1:14" s="8" customFormat="1" ht="15" customHeight="1">
      <c r="A457" s="141" t="s">
        <v>329</v>
      </c>
      <c r="B457" s="486"/>
      <c r="C457" s="486">
        <v>340</v>
      </c>
      <c r="D457" s="488">
        <v>800000000</v>
      </c>
      <c r="E457" s="486">
        <v>244</v>
      </c>
      <c r="F457" s="486">
        <v>342</v>
      </c>
      <c r="G457" s="492" t="s">
        <v>828</v>
      </c>
      <c r="H457" s="490">
        <f t="shared" si="32"/>
        <v>437421.05</v>
      </c>
      <c r="I457" s="485">
        <v>437421.05</v>
      </c>
      <c r="J457" s="124"/>
      <c r="K457" s="112"/>
      <c r="L457" s="112"/>
      <c r="M457" s="112"/>
      <c r="N457" s="112"/>
    </row>
    <row r="458" spans="1:14" s="8" customFormat="1" ht="15" customHeight="1">
      <c r="A458" s="141" t="s">
        <v>330</v>
      </c>
      <c r="B458" s="114"/>
      <c r="C458" s="114">
        <v>340</v>
      </c>
      <c r="D458" s="114">
        <v>800000000</v>
      </c>
      <c r="E458" s="114">
        <v>244</v>
      </c>
      <c r="F458" s="114">
        <v>346</v>
      </c>
      <c r="G458" s="101" t="s">
        <v>532</v>
      </c>
      <c r="H458" s="117">
        <f t="shared" si="32"/>
        <v>200597.04</v>
      </c>
      <c r="I458" s="124">
        <f>124943.1+75653.94</f>
        <v>200597.04</v>
      </c>
      <c r="J458" s="124"/>
      <c r="K458" s="112"/>
      <c r="L458" s="112"/>
      <c r="M458" s="112"/>
      <c r="N458" s="112"/>
    </row>
    <row r="459" spans="1:14" s="8" customFormat="1" ht="15" customHeight="1">
      <c r="A459" s="141" t="s">
        <v>329</v>
      </c>
      <c r="B459" s="486"/>
      <c r="C459" s="486">
        <v>340</v>
      </c>
      <c r="D459" s="487" t="s">
        <v>521</v>
      </c>
      <c r="E459" s="486">
        <v>244</v>
      </c>
      <c r="F459" s="486">
        <v>342</v>
      </c>
      <c r="G459" s="493" t="s">
        <v>533</v>
      </c>
      <c r="H459" s="490">
        <f t="shared" si="32"/>
        <v>4230044</v>
      </c>
      <c r="I459" s="484">
        <v>0</v>
      </c>
      <c r="J459" s="484">
        <v>0</v>
      </c>
      <c r="K459" s="498">
        <v>0</v>
      </c>
      <c r="L459" s="498">
        <v>0</v>
      </c>
      <c r="M459" s="495">
        <v>4230044</v>
      </c>
      <c r="N459" s="112"/>
    </row>
    <row r="460" spans="1:14" s="8" customFormat="1" ht="15" customHeight="1">
      <c r="A460" s="141" t="s">
        <v>331</v>
      </c>
      <c r="B460" s="114"/>
      <c r="C460" s="114"/>
      <c r="D460" s="114"/>
      <c r="E460" s="114"/>
      <c r="F460" s="114"/>
      <c r="G460" s="121"/>
      <c r="H460" s="117">
        <f t="shared" si="32"/>
        <v>0</v>
      </c>
      <c r="I460" s="124">
        <v>0</v>
      </c>
      <c r="J460" s="124"/>
      <c r="K460" s="112"/>
      <c r="L460" s="112"/>
      <c r="M460" s="112"/>
      <c r="N460" s="112"/>
    </row>
    <row r="461" spans="1:14" s="8" customFormat="1" ht="15" customHeight="1">
      <c r="A461" s="141" t="s">
        <v>330</v>
      </c>
      <c r="B461" s="486"/>
      <c r="C461" s="486">
        <v>340</v>
      </c>
      <c r="D461" s="488">
        <v>800000000</v>
      </c>
      <c r="E461" s="486">
        <v>244</v>
      </c>
      <c r="F461" s="486">
        <v>346</v>
      </c>
      <c r="G461" s="492" t="s">
        <v>828</v>
      </c>
      <c r="H461" s="490">
        <f t="shared" si="32"/>
        <v>9346.06</v>
      </c>
      <c r="I461" s="485">
        <v>9346.06</v>
      </c>
      <c r="J461" s="124"/>
      <c r="K461" s="112"/>
      <c r="L461" s="112"/>
      <c r="M461" s="112"/>
      <c r="N461" s="112"/>
    </row>
    <row r="462" spans="1:14" s="8" customFormat="1" ht="15" customHeight="1" hidden="1">
      <c r="A462" s="141" t="s">
        <v>330</v>
      </c>
      <c r="B462" s="486"/>
      <c r="C462" s="486">
        <v>340</v>
      </c>
      <c r="D462" s="488">
        <v>800000000</v>
      </c>
      <c r="E462" s="486">
        <v>244</v>
      </c>
      <c r="F462" s="486">
        <v>346</v>
      </c>
      <c r="G462" s="493" t="s">
        <v>532</v>
      </c>
      <c r="H462" s="490">
        <f t="shared" si="32"/>
        <v>0</v>
      </c>
      <c r="I462" s="485"/>
      <c r="J462" s="124"/>
      <c r="K462" s="112"/>
      <c r="L462" s="112"/>
      <c r="M462" s="112"/>
      <c r="N462" s="112"/>
    </row>
    <row r="463" spans="1:14" s="8" customFormat="1" ht="15" customHeight="1">
      <c r="A463" s="141" t="s">
        <v>849</v>
      </c>
      <c r="B463" s="486"/>
      <c r="C463" s="486">
        <v>340</v>
      </c>
      <c r="D463" s="487" t="s">
        <v>521</v>
      </c>
      <c r="E463" s="486">
        <v>244</v>
      </c>
      <c r="F463" s="486">
        <v>345</v>
      </c>
      <c r="G463" s="493" t="s">
        <v>533</v>
      </c>
      <c r="H463" s="490">
        <f t="shared" si="32"/>
        <v>100000</v>
      </c>
      <c r="I463" s="484">
        <v>0</v>
      </c>
      <c r="J463" s="484">
        <v>0</v>
      </c>
      <c r="K463" s="498">
        <v>0</v>
      </c>
      <c r="L463" s="498">
        <v>0</v>
      </c>
      <c r="M463" s="495">
        <v>100000</v>
      </c>
      <c r="N463" s="112"/>
    </row>
    <row r="464" spans="1:14" s="8" customFormat="1" ht="15" customHeight="1">
      <c r="A464" s="141" t="s">
        <v>330</v>
      </c>
      <c r="B464" s="486"/>
      <c r="C464" s="486">
        <v>340</v>
      </c>
      <c r="D464" s="487" t="s">
        <v>521</v>
      </c>
      <c r="E464" s="486">
        <v>244</v>
      </c>
      <c r="F464" s="486">
        <v>346</v>
      </c>
      <c r="G464" s="493" t="s">
        <v>533</v>
      </c>
      <c r="H464" s="490">
        <f t="shared" si="32"/>
        <v>30000</v>
      </c>
      <c r="I464" s="484">
        <v>0</v>
      </c>
      <c r="J464" s="484">
        <v>0</v>
      </c>
      <c r="K464" s="498">
        <v>0</v>
      </c>
      <c r="L464" s="498">
        <v>0</v>
      </c>
      <c r="M464" s="495">
        <v>30000</v>
      </c>
      <c r="N464" s="112"/>
    </row>
    <row r="465" spans="1:14" s="8" customFormat="1" ht="17.25" customHeight="1">
      <c r="A465" s="141" t="s">
        <v>332</v>
      </c>
      <c r="B465" s="114"/>
      <c r="C465" s="114">
        <v>530</v>
      </c>
      <c r="D465" s="114"/>
      <c r="E465" s="114">
        <v>465</v>
      </c>
      <c r="F465" s="114">
        <v>530</v>
      </c>
      <c r="G465" s="121"/>
      <c r="H465" s="117"/>
      <c r="I465" s="124"/>
      <c r="J465" s="124"/>
      <c r="K465" s="112"/>
      <c r="L465" s="112"/>
      <c r="M465" s="112"/>
      <c r="N465" s="112"/>
    </row>
    <row r="466" spans="1:14" s="8" customFormat="1" ht="17.25" customHeight="1">
      <c r="A466" s="141" t="s">
        <v>333</v>
      </c>
      <c r="B466" s="114"/>
      <c r="C466" s="114">
        <v>226</v>
      </c>
      <c r="D466" s="114">
        <v>800000000</v>
      </c>
      <c r="E466" s="114">
        <v>244</v>
      </c>
      <c r="F466" s="114">
        <v>226</v>
      </c>
      <c r="G466" s="121"/>
      <c r="H466" s="117">
        <f>I466+J466+K466+L466+M466+N466</f>
        <v>1235315.9</v>
      </c>
      <c r="I466" s="124">
        <f>SUM(I468:I476)</f>
        <v>1235315.9</v>
      </c>
      <c r="J466" s="124">
        <f>J468+J469+J470</f>
        <v>0</v>
      </c>
      <c r="K466" s="124">
        <f>K468+K469+K470</f>
        <v>0</v>
      </c>
      <c r="L466" s="124">
        <f>L468+L469+L470</f>
        <v>0</v>
      </c>
      <c r="M466" s="124">
        <f>M468+M469+M470</f>
        <v>0</v>
      </c>
      <c r="N466" s="124">
        <f>N468+N469+N470</f>
        <v>0</v>
      </c>
    </row>
    <row r="467" spans="1:14" s="8" customFormat="1" ht="17.25" customHeight="1">
      <c r="A467" s="141" t="s">
        <v>4</v>
      </c>
      <c r="B467" s="114"/>
      <c r="C467" s="114"/>
      <c r="D467" s="114"/>
      <c r="E467" s="114"/>
      <c r="F467" s="114"/>
      <c r="G467" s="121"/>
      <c r="H467" s="117"/>
      <c r="I467" s="124"/>
      <c r="J467" s="124"/>
      <c r="K467" s="112"/>
      <c r="L467" s="112"/>
      <c r="M467" s="112"/>
      <c r="N467" s="112"/>
    </row>
    <row r="468" spans="1:14" s="8" customFormat="1" ht="17.25" customHeight="1">
      <c r="A468" s="141" t="s">
        <v>334</v>
      </c>
      <c r="B468" s="114"/>
      <c r="C468" s="114"/>
      <c r="D468" s="114"/>
      <c r="E468" s="114"/>
      <c r="F468" s="114"/>
      <c r="G468" s="121"/>
      <c r="H468" s="117">
        <f aca="true" t="shared" si="33" ref="H468:H479">I468+J468+K468+L468+M468+N468</f>
        <v>0</v>
      </c>
      <c r="I468" s="124"/>
      <c r="J468" s="124"/>
      <c r="K468" s="112"/>
      <c r="L468" s="112"/>
      <c r="M468" s="112"/>
      <c r="N468" s="112"/>
    </row>
    <row r="469" spans="1:14" s="8" customFormat="1" ht="28.5" customHeight="1">
      <c r="A469" s="141" t="s">
        <v>335</v>
      </c>
      <c r="B469" s="114"/>
      <c r="C469" s="114"/>
      <c r="D469" s="114"/>
      <c r="E469" s="114"/>
      <c r="F469" s="114"/>
      <c r="G469" s="121"/>
      <c r="H469" s="117">
        <f t="shared" si="33"/>
        <v>0</v>
      </c>
      <c r="I469" s="124"/>
      <c r="J469" s="124"/>
      <c r="K469" s="112"/>
      <c r="L469" s="112"/>
      <c r="M469" s="112"/>
      <c r="N469" s="112"/>
    </row>
    <row r="470" spans="1:14" s="8" customFormat="1" ht="17.25" customHeight="1">
      <c r="A470" s="141" t="s">
        <v>336</v>
      </c>
      <c r="B470" s="114"/>
      <c r="C470" s="114">
        <v>226</v>
      </c>
      <c r="D470" s="114">
        <v>800000000</v>
      </c>
      <c r="E470" s="114">
        <v>244</v>
      </c>
      <c r="F470" s="114">
        <v>226</v>
      </c>
      <c r="G470" s="101" t="s">
        <v>531</v>
      </c>
      <c r="H470" s="117">
        <f t="shared" si="33"/>
        <v>105269</v>
      </c>
      <c r="I470" s="124">
        <f>101269+4000</f>
        <v>105269</v>
      </c>
      <c r="J470" s="124"/>
      <c r="K470" s="112"/>
      <c r="L470" s="112"/>
      <c r="M470" s="112"/>
      <c r="N470" s="112"/>
    </row>
    <row r="471" spans="1:14" s="8" customFormat="1" ht="17.25" customHeight="1">
      <c r="A471" s="141" t="s">
        <v>336</v>
      </c>
      <c r="B471" s="114"/>
      <c r="C471" s="114">
        <v>226</v>
      </c>
      <c r="D471" s="114">
        <v>800000000</v>
      </c>
      <c r="E471" s="114">
        <v>244</v>
      </c>
      <c r="F471" s="114">
        <v>226</v>
      </c>
      <c r="G471" s="101" t="s">
        <v>532</v>
      </c>
      <c r="H471" s="117">
        <f t="shared" si="33"/>
        <v>351045.33999999997</v>
      </c>
      <c r="I471" s="124">
        <f>204187.9+146857.44</f>
        <v>351045.33999999997</v>
      </c>
      <c r="J471" s="124"/>
      <c r="K471" s="112"/>
      <c r="L471" s="112"/>
      <c r="M471" s="112"/>
      <c r="N471" s="112"/>
    </row>
    <row r="472" spans="1:14" s="8" customFormat="1" ht="17.25" customHeight="1" hidden="1">
      <c r="A472" s="141" t="s">
        <v>335</v>
      </c>
      <c r="B472" s="486"/>
      <c r="C472" s="488">
        <v>226</v>
      </c>
      <c r="D472" s="488">
        <v>800000000</v>
      </c>
      <c r="E472" s="488">
        <v>244</v>
      </c>
      <c r="F472" s="488">
        <v>226</v>
      </c>
      <c r="G472" s="492" t="s">
        <v>828</v>
      </c>
      <c r="H472" s="490">
        <f t="shared" si="33"/>
        <v>0</v>
      </c>
      <c r="I472" s="485"/>
      <c r="J472" s="124"/>
      <c r="K472" s="112"/>
      <c r="L472" s="112"/>
      <c r="M472" s="112"/>
      <c r="N472" s="112"/>
    </row>
    <row r="473" spans="1:14" s="8" customFormat="1" ht="17.25" customHeight="1">
      <c r="A473" s="141" t="s">
        <v>336</v>
      </c>
      <c r="B473" s="486"/>
      <c r="C473" s="488">
        <v>226</v>
      </c>
      <c r="D473" s="488">
        <v>800000000</v>
      </c>
      <c r="E473" s="488">
        <v>244</v>
      </c>
      <c r="F473" s="488">
        <v>226</v>
      </c>
      <c r="G473" s="489" t="s">
        <v>535</v>
      </c>
      <c r="H473" s="490">
        <f>I473+J473+K473+L473+M473+N473</f>
        <v>8000</v>
      </c>
      <c r="I473" s="485">
        <v>8000</v>
      </c>
      <c r="J473" s="124"/>
      <c r="K473" s="112"/>
      <c r="L473" s="112"/>
      <c r="M473" s="112"/>
      <c r="N473" s="112"/>
    </row>
    <row r="474" spans="1:14" s="8" customFormat="1" ht="17.25" customHeight="1" hidden="1">
      <c r="A474" s="141" t="s">
        <v>336</v>
      </c>
      <c r="B474" s="486"/>
      <c r="C474" s="488">
        <v>226</v>
      </c>
      <c r="D474" s="488">
        <v>800000000</v>
      </c>
      <c r="E474" s="488">
        <v>244</v>
      </c>
      <c r="F474" s="488">
        <v>226</v>
      </c>
      <c r="G474" s="489" t="s">
        <v>531</v>
      </c>
      <c r="H474" s="490">
        <f t="shared" si="33"/>
        <v>0</v>
      </c>
      <c r="I474" s="485"/>
      <c r="J474" s="124"/>
      <c r="K474" s="112"/>
      <c r="L474" s="112"/>
      <c r="M474" s="112"/>
      <c r="N474" s="112"/>
    </row>
    <row r="475" spans="1:14" s="8" customFormat="1" ht="17.25" customHeight="1">
      <c r="A475" s="141" t="s">
        <v>336</v>
      </c>
      <c r="B475" s="486"/>
      <c r="C475" s="486">
        <v>226</v>
      </c>
      <c r="D475" s="488">
        <v>800000000</v>
      </c>
      <c r="E475" s="486">
        <v>244</v>
      </c>
      <c r="F475" s="486">
        <v>226</v>
      </c>
      <c r="G475" s="492" t="s">
        <v>828</v>
      </c>
      <c r="H475" s="490">
        <f t="shared" si="33"/>
        <v>771001.56</v>
      </c>
      <c r="I475" s="485">
        <f>768001.56+3000</f>
        <v>771001.56</v>
      </c>
      <c r="J475" s="124"/>
      <c r="K475" s="112"/>
      <c r="L475" s="112"/>
      <c r="M475" s="112"/>
      <c r="N475" s="112"/>
    </row>
    <row r="476" spans="1:14" s="8" customFormat="1" ht="17.25" customHeight="1" hidden="1">
      <c r="A476" s="141" t="s">
        <v>336</v>
      </c>
      <c r="B476" s="486"/>
      <c r="C476" s="486">
        <v>226</v>
      </c>
      <c r="D476" s="488">
        <v>800000000</v>
      </c>
      <c r="E476" s="486">
        <v>244</v>
      </c>
      <c r="F476" s="486">
        <v>226</v>
      </c>
      <c r="G476" s="493" t="s">
        <v>532</v>
      </c>
      <c r="H476" s="490">
        <f t="shared" si="33"/>
        <v>0</v>
      </c>
      <c r="I476" s="485"/>
      <c r="J476" s="124"/>
      <c r="K476" s="112"/>
      <c r="L476" s="112"/>
      <c r="M476" s="112"/>
      <c r="N476" s="112"/>
    </row>
    <row r="477" spans="1:14" s="8" customFormat="1" ht="17.25" customHeight="1">
      <c r="A477" s="141" t="s">
        <v>336</v>
      </c>
      <c r="B477" s="114"/>
      <c r="C477" s="114">
        <v>226</v>
      </c>
      <c r="D477" s="115" t="s">
        <v>521</v>
      </c>
      <c r="E477" s="114">
        <v>244</v>
      </c>
      <c r="F477" s="114">
        <v>226</v>
      </c>
      <c r="G477" s="101" t="s">
        <v>533</v>
      </c>
      <c r="H477" s="117">
        <f t="shared" si="33"/>
        <v>952014.58</v>
      </c>
      <c r="I477" s="124">
        <v>0</v>
      </c>
      <c r="J477" s="124"/>
      <c r="K477" s="112"/>
      <c r="L477" s="112"/>
      <c r="M477" s="112">
        <f>774014.58+178000</f>
        <v>952014.58</v>
      </c>
      <c r="N477" s="112"/>
    </row>
    <row r="478" spans="1:14" s="8" customFormat="1" ht="17.25" customHeight="1">
      <c r="A478" s="141" t="s">
        <v>336</v>
      </c>
      <c r="B478" s="486"/>
      <c r="C478" s="486">
        <v>226</v>
      </c>
      <c r="D478" s="487" t="s">
        <v>521</v>
      </c>
      <c r="E478" s="486"/>
      <c r="F478" s="486">
        <v>226</v>
      </c>
      <c r="G478" s="493" t="s">
        <v>533</v>
      </c>
      <c r="H478" s="490">
        <f t="shared" si="33"/>
        <v>0</v>
      </c>
      <c r="I478" s="484">
        <v>0</v>
      </c>
      <c r="J478" s="484">
        <v>0</v>
      </c>
      <c r="K478" s="498">
        <v>0</v>
      </c>
      <c r="L478" s="498">
        <v>0</v>
      </c>
      <c r="M478" s="496"/>
      <c r="N478" s="112"/>
    </row>
    <row r="479" spans="1:14" s="8" customFormat="1" ht="17.25" customHeight="1">
      <c r="A479" s="141" t="s">
        <v>400</v>
      </c>
      <c r="B479" s="114"/>
      <c r="C479" s="114">
        <v>296</v>
      </c>
      <c r="D479" s="114"/>
      <c r="E479" s="114">
        <v>244</v>
      </c>
      <c r="F479" s="114">
        <v>296</v>
      </c>
      <c r="G479" s="121"/>
      <c r="H479" s="117">
        <f t="shared" si="33"/>
        <v>0</v>
      </c>
      <c r="I479" s="124"/>
      <c r="J479" s="124"/>
      <c r="K479" s="112"/>
      <c r="L479" s="112"/>
      <c r="M479" s="112"/>
      <c r="N479" s="112"/>
    </row>
    <row r="480" spans="1:14" s="8" customFormat="1" ht="17.25" customHeight="1">
      <c r="A480" s="135" t="s">
        <v>53</v>
      </c>
      <c r="B480" s="114">
        <v>300</v>
      </c>
      <c r="C480" s="114" t="s">
        <v>10</v>
      </c>
      <c r="D480" s="114"/>
      <c r="E480" s="114"/>
      <c r="F480" s="114" t="s">
        <v>10</v>
      </c>
      <c r="G480" s="121"/>
      <c r="H480" s="117">
        <f>H482+H483</f>
        <v>0</v>
      </c>
      <c r="I480" s="124">
        <f aca="true" t="shared" si="34" ref="I480:N480">I482+I483</f>
        <v>0</v>
      </c>
      <c r="J480" s="124">
        <f t="shared" si="34"/>
        <v>0</v>
      </c>
      <c r="K480" s="124">
        <f t="shared" si="34"/>
        <v>0</v>
      </c>
      <c r="L480" s="124">
        <f t="shared" si="34"/>
        <v>0</v>
      </c>
      <c r="M480" s="124">
        <f t="shared" si="34"/>
        <v>0</v>
      </c>
      <c r="N480" s="124">
        <f t="shared" si="34"/>
        <v>0</v>
      </c>
    </row>
    <row r="481" spans="1:14" s="8" customFormat="1" ht="14.25" customHeight="1">
      <c r="A481" s="135" t="s">
        <v>3</v>
      </c>
      <c r="B481" s="114"/>
      <c r="C481" s="147"/>
      <c r="D481" s="114"/>
      <c r="E481" s="114"/>
      <c r="F481" s="147"/>
      <c r="G481" s="148"/>
      <c r="H481" s="117"/>
      <c r="I481" s="124"/>
      <c r="J481" s="124"/>
      <c r="K481" s="112"/>
      <c r="L481" s="112"/>
      <c r="M481" s="112"/>
      <c r="N481" s="112"/>
    </row>
    <row r="482" spans="1:14" s="8" customFormat="1" ht="16.5" customHeight="1">
      <c r="A482" s="135" t="s">
        <v>54</v>
      </c>
      <c r="B482" s="143">
        <v>310</v>
      </c>
      <c r="C482" s="149"/>
      <c r="D482" s="143"/>
      <c r="E482" s="143"/>
      <c r="F482" s="149"/>
      <c r="G482" s="150"/>
      <c r="H482" s="117">
        <f>I482+J482+K482+L482+M482+N482</f>
        <v>0</v>
      </c>
      <c r="I482" s="124"/>
      <c r="J482" s="124"/>
      <c r="K482" s="112"/>
      <c r="L482" s="112"/>
      <c r="M482" s="112"/>
      <c r="N482" s="112"/>
    </row>
    <row r="483" spans="1:14" s="151" customFormat="1" ht="15" customHeight="1">
      <c r="A483" s="135" t="s">
        <v>55</v>
      </c>
      <c r="B483" s="114">
        <v>320</v>
      </c>
      <c r="C483" s="114"/>
      <c r="D483" s="114"/>
      <c r="E483" s="114"/>
      <c r="F483" s="114"/>
      <c r="G483" s="121"/>
      <c r="H483" s="117">
        <f>I483+J483+K483+L483+M483+N483</f>
        <v>0</v>
      </c>
      <c r="I483" s="124"/>
      <c r="J483" s="124"/>
      <c r="K483" s="112"/>
      <c r="L483" s="112"/>
      <c r="M483" s="112"/>
      <c r="N483" s="112"/>
    </row>
    <row r="484" spans="1:14" s="151" customFormat="1" ht="17.25" customHeight="1">
      <c r="A484" s="135" t="s">
        <v>56</v>
      </c>
      <c r="B484" s="114">
        <v>400</v>
      </c>
      <c r="C484" s="114"/>
      <c r="D484" s="114"/>
      <c r="E484" s="114"/>
      <c r="F484" s="114"/>
      <c r="G484" s="121"/>
      <c r="H484" s="117">
        <f>H486+H487</f>
        <v>0</v>
      </c>
      <c r="I484" s="124">
        <f aca="true" t="shared" si="35" ref="I484:N484">I486+I487</f>
        <v>0</v>
      </c>
      <c r="J484" s="124">
        <f t="shared" si="35"/>
        <v>0</v>
      </c>
      <c r="K484" s="124">
        <f t="shared" si="35"/>
        <v>0</v>
      </c>
      <c r="L484" s="124">
        <f t="shared" si="35"/>
        <v>0</v>
      </c>
      <c r="M484" s="124">
        <f t="shared" si="35"/>
        <v>0</v>
      </c>
      <c r="N484" s="124">
        <f t="shared" si="35"/>
        <v>0</v>
      </c>
    </row>
    <row r="485" spans="1:14" s="151" customFormat="1" ht="14.25" customHeight="1">
      <c r="A485" s="135" t="s">
        <v>3</v>
      </c>
      <c r="B485" s="114"/>
      <c r="C485" s="147"/>
      <c r="D485" s="114"/>
      <c r="E485" s="114"/>
      <c r="F485" s="147"/>
      <c r="G485" s="148"/>
      <c r="H485" s="117"/>
      <c r="I485" s="124"/>
      <c r="J485" s="124"/>
      <c r="K485" s="112"/>
      <c r="L485" s="112"/>
      <c r="M485" s="112"/>
      <c r="N485" s="112"/>
    </row>
    <row r="486" spans="1:14" s="151" customFormat="1" ht="15.75" customHeight="1">
      <c r="A486" s="135" t="s">
        <v>57</v>
      </c>
      <c r="B486" s="143">
        <v>410</v>
      </c>
      <c r="C486" s="149"/>
      <c r="D486" s="143"/>
      <c r="E486" s="143"/>
      <c r="F486" s="149"/>
      <c r="G486" s="150"/>
      <c r="H486" s="117">
        <f aca="true" t="shared" si="36" ref="H486:H495">I486+J486+K486+L486+M486+N486</f>
        <v>0</v>
      </c>
      <c r="I486" s="124"/>
      <c r="J486" s="124"/>
      <c r="K486" s="112"/>
      <c r="L486" s="112"/>
      <c r="M486" s="112"/>
      <c r="N486" s="112"/>
    </row>
    <row r="487" spans="1:14" s="151" customFormat="1" ht="13.5" customHeight="1">
      <c r="A487" s="135" t="s">
        <v>58</v>
      </c>
      <c r="B487" s="114">
        <v>420</v>
      </c>
      <c r="C487" s="114"/>
      <c r="D487" s="114"/>
      <c r="E487" s="114"/>
      <c r="F487" s="114"/>
      <c r="G487" s="121"/>
      <c r="H487" s="117">
        <f t="shared" si="36"/>
        <v>0</v>
      </c>
      <c r="I487" s="124"/>
      <c r="J487" s="124"/>
      <c r="K487" s="112"/>
      <c r="L487" s="112"/>
      <c r="M487" s="112"/>
      <c r="N487" s="112"/>
    </row>
    <row r="488" spans="1:14" s="151" customFormat="1" ht="28.5" customHeight="1">
      <c r="A488" s="135" t="s">
        <v>337</v>
      </c>
      <c r="B488" s="114">
        <v>500</v>
      </c>
      <c r="C488" s="114" t="s">
        <v>10</v>
      </c>
      <c r="D488" s="114"/>
      <c r="E488" s="114"/>
      <c r="F488" s="114" t="s">
        <v>10</v>
      </c>
      <c r="G488" s="121"/>
      <c r="H488" s="117">
        <f t="shared" si="36"/>
        <v>0</v>
      </c>
      <c r="I488" s="124">
        <f>I489+I490</f>
        <v>0</v>
      </c>
      <c r="J488" s="124">
        <f>J489+J490</f>
        <v>0</v>
      </c>
      <c r="K488" s="124">
        <f>K489+K490</f>
        <v>0</v>
      </c>
      <c r="L488" s="124">
        <f>L489+L490</f>
        <v>0</v>
      </c>
      <c r="M488" s="124">
        <f>M489+M490+M491+M492+M493+M494</f>
        <v>0</v>
      </c>
      <c r="N488" s="124">
        <f>N489+N490</f>
        <v>0</v>
      </c>
    </row>
    <row r="489" spans="1:14" s="151" customFormat="1" ht="18" customHeight="1">
      <c r="A489" s="135" t="s">
        <v>59</v>
      </c>
      <c r="B489" s="114"/>
      <c r="C489" s="114">
        <v>131</v>
      </c>
      <c r="D489" s="114">
        <v>800000000</v>
      </c>
      <c r="E489" s="114"/>
      <c r="F489" s="114">
        <v>131</v>
      </c>
      <c r="G489" s="101" t="s">
        <v>532</v>
      </c>
      <c r="H489" s="117">
        <f t="shared" si="36"/>
        <v>0</v>
      </c>
      <c r="I489" s="152">
        <v>0</v>
      </c>
      <c r="J489" s="124"/>
      <c r="K489" s="112"/>
      <c r="L489" s="112"/>
      <c r="M489" s="112"/>
      <c r="N489" s="112"/>
    </row>
    <row r="490" spans="1:14" s="151" customFormat="1" ht="18" customHeight="1">
      <c r="A490" s="135" t="s">
        <v>59</v>
      </c>
      <c r="B490" s="114"/>
      <c r="C490" s="114">
        <v>152</v>
      </c>
      <c r="D490" s="114">
        <v>901480000</v>
      </c>
      <c r="E490" s="114"/>
      <c r="F490" s="114">
        <v>152</v>
      </c>
      <c r="G490" s="121" t="s">
        <v>535</v>
      </c>
      <c r="H490" s="117">
        <f t="shared" si="36"/>
        <v>0</v>
      </c>
      <c r="I490" s="152">
        <v>0</v>
      </c>
      <c r="J490" s="124"/>
      <c r="K490" s="112"/>
      <c r="L490" s="112"/>
      <c r="M490" s="112"/>
      <c r="N490" s="112"/>
    </row>
    <row r="491" spans="1:14" s="151" customFormat="1" ht="18" customHeight="1">
      <c r="A491" s="135" t="s">
        <v>59</v>
      </c>
      <c r="B491" s="114"/>
      <c r="C491" s="114">
        <v>121</v>
      </c>
      <c r="D491" s="115" t="s">
        <v>521</v>
      </c>
      <c r="E491" s="114"/>
      <c r="F491" s="114">
        <v>121</v>
      </c>
      <c r="G491" s="101" t="s">
        <v>533</v>
      </c>
      <c r="H491" s="117">
        <f t="shared" si="36"/>
        <v>0</v>
      </c>
      <c r="I491" s="152">
        <v>0</v>
      </c>
      <c r="J491" s="124"/>
      <c r="K491" s="112"/>
      <c r="L491" s="112"/>
      <c r="M491" s="112"/>
      <c r="N491" s="112"/>
    </row>
    <row r="492" spans="1:14" s="151" customFormat="1" ht="18" customHeight="1">
      <c r="A492" s="135" t="s">
        <v>59</v>
      </c>
      <c r="B492" s="114"/>
      <c r="C492" s="114">
        <v>131</v>
      </c>
      <c r="D492" s="115" t="s">
        <v>521</v>
      </c>
      <c r="E492" s="114"/>
      <c r="F492" s="114">
        <v>131</v>
      </c>
      <c r="G492" s="101" t="s">
        <v>533</v>
      </c>
      <c r="H492" s="117">
        <f t="shared" si="36"/>
        <v>0</v>
      </c>
      <c r="I492" s="152">
        <v>0</v>
      </c>
      <c r="J492" s="124"/>
      <c r="K492" s="112"/>
      <c r="L492" s="112"/>
      <c r="M492" s="112"/>
      <c r="N492" s="112"/>
    </row>
    <row r="493" spans="1:14" s="151" customFormat="1" ht="18" customHeight="1">
      <c r="A493" s="135" t="s">
        <v>59</v>
      </c>
      <c r="B493" s="114"/>
      <c r="C493" s="114">
        <v>135</v>
      </c>
      <c r="D493" s="115" t="s">
        <v>521</v>
      </c>
      <c r="E493" s="114"/>
      <c r="F493" s="114">
        <v>135</v>
      </c>
      <c r="G493" s="101" t="s">
        <v>533</v>
      </c>
      <c r="H493" s="117">
        <f t="shared" si="36"/>
        <v>0</v>
      </c>
      <c r="I493" s="152">
        <v>0</v>
      </c>
      <c r="J493" s="124"/>
      <c r="K493" s="112"/>
      <c r="L493" s="112"/>
      <c r="M493" s="112"/>
      <c r="N493" s="112"/>
    </row>
    <row r="494" spans="1:14" s="151" customFormat="1" ht="18" customHeight="1">
      <c r="A494" s="135" t="s">
        <v>59</v>
      </c>
      <c r="B494" s="114"/>
      <c r="C494" s="114">
        <v>189</v>
      </c>
      <c r="D494" s="115" t="s">
        <v>521</v>
      </c>
      <c r="E494" s="114"/>
      <c r="F494" s="114">
        <v>189</v>
      </c>
      <c r="G494" s="101" t="s">
        <v>533</v>
      </c>
      <c r="H494" s="117">
        <f t="shared" si="36"/>
        <v>0</v>
      </c>
      <c r="I494" s="152">
        <v>0</v>
      </c>
      <c r="J494" s="124"/>
      <c r="K494" s="112"/>
      <c r="L494" s="112"/>
      <c r="M494" s="112"/>
      <c r="N494" s="112"/>
    </row>
    <row r="495" spans="1:14" s="151" customFormat="1" ht="18" customHeight="1">
      <c r="A495" s="135" t="s">
        <v>60</v>
      </c>
      <c r="B495" s="114">
        <v>600</v>
      </c>
      <c r="C495" s="114" t="s">
        <v>10</v>
      </c>
      <c r="D495" s="114"/>
      <c r="E495" s="114"/>
      <c r="F495" s="114" t="s">
        <v>10</v>
      </c>
      <c r="G495" s="121"/>
      <c r="H495" s="153">
        <f t="shared" si="36"/>
        <v>0</v>
      </c>
      <c r="I495" s="154">
        <f>I296-I358</f>
        <v>0</v>
      </c>
      <c r="J495" s="154">
        <f>J296-J358</f>
        <v>0</v>
      </c>
      <c r="K495" s="154"/>
      <c r="L495" s="154"/>
      <c r="M495" s="154">
        <f>M296-M358</f>
        <v>0</v>
      </c>
      <c r="N495" s="119"/>
    </row>
    <row r="496" spans="1:14" ht="15">
      <c r="A496" s="65"/>
      <c r="B496" s="66"/>
      <c r="C496" s="66"/>
      <c r="D496" s="66"/>
      <c r="E496" s="66"/>
      <c r="F496" s="66"/>
      <c r="G496" s="66"/>
      <c r="H496" s="67"/>
      <c r="I496" s="68"/>
      <c r="J496" s="68"/>
      <c r="K496" s="68"/>
      <c r="L496" s="68"/>
      <c r="M496" s="68"/>
      <c r="N496" s="68"/>
    </row>
    <row r="497" spans="1:14" ht="22.5">
      <c r="A497" s="65"/>
      <c r="B497" s="66"/>
      <c r="C497" s="66"/>
      <c r="D497" s="66"/>
      <c r="E497" s="66"/>
      <c r="F497" s="66"/>
      <c r="G497" s="66"/>
      <c r="H497" s="67"/>
      <c r="I497" s="68"/>
      <c r="J497" s="68"/>
      <c r="K497" s="68"/>
      <c r="L497" s="68"/>
      <c r="M497" s="68"/>
      <c r="N497" s="22" t="s">
        <v>380</v>
      </c>
    </row>
    <row r="498" spans="1:14" ht="12.75" customHeight="1">
      <c r="A498" s="37"/>
      <c r="B498" s="20"/>
      <c r="C498" s="20"/>
      <c r="D498" s="20"/>
      <c r="E498" s="20"/>
      <c r="F498" s="20"/>
      <c r="G498" s="20"/>
      <c r="H498" s="605" t="s">
        <v>41</v>
      </c>
      <c r="I498" s="605"/>
      <c r="J498" s="605"/>
      <c r="K498" s="605"/>
      <c r="L498" s="20"/>
      <c r="M498" s="20"/>
      <c r="N498" s="20"/>
    </row>
    <row r="499" spans="1:14" ht="12.75" customHeight="1">
      <c r="A499" s="37"/>
      <c r="B499" s="20"/>
      <c r="C499" s="20"/>
      <c r="D499" s="20"/>
      <c r="E499" s="20"/>
      <c r="F499" s="20"/>
      <c r="G499" s="20"/>
      <c r="H499" s="606" t="s">
        <v>520</v>
      </c>
      <c r="I499" s="606"/>
      <c r="J499" s="606"/>
      <c r="K499" s="606"/>
      <c r="L499" s="20"/>
      <c r="M499" s="20"/>
      <c r="N499" s="20"/>
    </row>
    <row r="500" spans="1:14" ht="12.75" customHeight="1">
      <c r="A500" s="37"/>
      <c r="B500" s="20"/>
      <c r="C500" s="20"/>
      <c r="D500" s="20"/>
      <c r="E500" s="20"/>
      <c r="F500" s="20"/>
      <c r="G500" s="20"/>
      <c r="H500" s="21"/>
      <c r="I500" s="21"/>
      <c r="J500" s="21"/>
      <c r="K500" s="21"/>
      <c r="L500" s="20"/>
      <c r="M500" s="20"/>
      <c r="N500" s="20"/>
    </row>
    <row r="501" spans="1:15" s="8" customFormat="1" ht="18" customHeight="1">
      <c r="A501" s="613" t="s">
        <v>1</v>
      </c>
      <c r="B501" s="603" t="s">
        <v>45</v>
      </c>
      <c r="C501" s="627" t="s">
        <v>397</v>
      </c>
      <c r="D501" s="616" t="s">
        <v>163</v>
      </c>
      <c r="E501" s="610" t="s">
        <v>164</v>
      </c>
      <c r="F501" s="603" t="s">
        <v>165</v>
      </c>
      <c r="G501" s="619" t="s">
        <v>338</v>
      </c>
      <c r="H501" s="607" t="s">
        <v>38</v>
      </c>
      <c r="I501" s="608"/>
      <c r="J501" s="608"/>
      <c r="K501" s="608"/>
      <c r="L501" s="608"/>
      <c r="M501" s="608"/>
      <c r="N501" s="609"/>
      <c r="O501" s="63"/>
    </row>
    <row r="502" spans="1:15" s="8" customFormat="1" ht="16.5" customHeight="1">
      <c r="A502" s="614"/>
      <c r="B502" s="603"/>
      <c r="C502" s="628"/>
      <c r="D502" s="617"/>
      <c r="E502" s="604"/>
      <c r="F502" s="603"/>
      <c r="G502" s="620"/>
      <c r="H502" s="610" t="s">
        <v>33</v>
      </c>
      <c r="I502" s="603" t="s">
        <v>4</v>
      </c>
      <c r="J502" s="603"/>
      <c r="K502" s="603"/>
      <c r="L502" s="603"/>
      <c r="M502" s="603"/>
      <c r="N502" s="603"/>
      <c r="O502" s="63"/>
    </row>
    <row r="503" spans="1:15" s="8" customFormat="1" ht="68.25" customHeight="1">
      <c r="A503" s="614"/>
      <c r="B503" s="603"/>
      <c r="C503" s="628"/>
      <c r="D503" s="617"/>
      <c r="E503" s="604"/>
      <c r="F503" s="603"/>
      <c r="G503" s="620"/>
      <c r="H503" s="604"/>
      <c r="I503" s="611" t="s">
        <v>398</v>
      </c>
      <c r="J503" s="623" t="s">
        <v>166</v>
      </c>
      <c r="K503" s="602" t="s">
        <v>34</v>
      </c>
      <c r="L503" s="604" t="s">
        <v>35</v>
      </c>
      <c r="M503" s="602" t="s">
        <v>50</v>
      </c>
      <c r="N503" s="602"/>
      <c r="O503" s="63"/>
    </row>
    <row r="504" spans="1:15" s="8" customFormat="1" ht="30.75" customHeight="1">
      <c r="A504" s="615"/>
      <c r="B504" s="603"/>
      <c r="C504" s="629"/>
      <c r="D504" s="618"/>
      <c r="E504" s="602"/>
      <c r="F504" s="603"/>
      <c r="G504" s="621"/>
      <c r="H504" s="602"/>
      <c r="I504" s="612"/>
      <c r="J504" s="624"/>
      <c r="K504" s="603"/>
      <c r="L504" s="602"/>
      <c r="M504" s="41" t="s">
        <v>36</v>
      </c>
      <c r="N504" s="41" t="s">
        <v>37</v>
      </c>
      <c r="O504" s="63"/>
    </row>
    <row r="505" spans="1:15" s="9" customFormat="1" ht="12">
      <c r="A505" s="23">
        <v>2</v>
      </c>
      <c r="B505" s="23">
        <v>3</v>
      </c>
      <c r="C505" s="23"/>
      <c r="D505" s="23">
        <v>4</v>
      </c>
      <c r="E505" s="23">
        <v>5</v>
      </c>
      <c r="F505" s="23">
        <v>6</v>
      </c>
      <c r="G505" s="23">
        <v>7</v>
      </c>
      <c r="H505" s="16">
        <v>8</v>
      </c>
      <c r="I505" s="16">
        <v>9</v>
      </c>
      <c r="J505" s="16">
        <v>10</v>
      </c>
      <c r="K505" s="16">
        <v>11</v>
      </c>
      <c r="L505" s="16">
        <v>12</v>
      </c>
      <c r="M505" s="16">
        <v>13</v>
      </c>
      <c r="N505" s="16">
        <v>14</v>
      </c>
      <c r="O505" s="64"/>
    </row>
    <row r="506" spans="1:14" s="106" customFormat="1" ht="12.75">
      <c r="A506" s="102" t="s">
        <v>43</v>
      </c>
      <c r="B506" s="103">
        <v>100</v>
      </c>
      <c r="C506" s="103"/>
      <c r="D506" s="103"/>
      <c r="E506" s="103"/>
      <c r="F506" s="103" t="s">
        <v>10</v>
      </c>
      <c r="G506" s="104"/>
      <c r="H506" s="105">
        <f>H508+H512+H549</f>
        <v>63884254.97</v>
      </c>
      <c r="I506" s="105">
        <f>I512</f>
        <v>49432260.64</v>
      </c>
      <c r="J506" s="105">
        <f>J549</f>
        <v>906467.97</v>
      </c>
      <c r="K506" s="105">
        <f>K550</f>
        <v>0</v>
      </c>
      <c r="L506" s="105">
        <f>L512</f>
        <v>0</v>
      </c>
      <c r="M506" s="105">
        <f>M508+M512+M548+M559</f>
        <v>13545526.36</v>
      </c>
      <c r="N506" s="105">
        <f>N512+N559</f>
        <v>0</v>
      </c>
    </row>
    <row r="507" spans="1:14" s="106" customFormat="1" ht="12.75">
      <c r="A507" s="107" t="s">
        <v>3</v>
      </c>
      <c r="B507" s="108"/>
      <c r="C507" s="108"/>
      <c r="D507" s="108"/>
      <c r="E507" s="108"/>
      <c r="F507" s="108"/>
      <c r="G507" s="109"/>
      <c r="H507" s="110"/>
      <c r="I507" s="110"/>
      <c r="J507" s="110"/>
      <c r="K507" s="111"/>
      <c r="L507" s="111"/>
      <c r="M507" s="112"/>
      <c r="N507" s="111"/>
    </row>
    <row r="508" spans="1:14" s="120" customFormat="1" ht="17.25" customHeight="1">
      <c r="A508" s="113" t="s">
        <v>32</v>
      </c>
      <c r="B508" s="114">
        <v>110</v>
      </c>
      <c r="C508" s="114">
        <v>120</v>
      </c>
      <c r="D508" s="115" t="s">
        <v>521</v>
      </c>
      <c r="E508" s="114"/>
      <c r="F508" s="114">
        <v>120</v>
      </c>
      <c r="G508" s="116" t="s">
        <v>363</v>
      </c>
      <c r="H508" s="117">
        <f>M508</f>
        <v>750526.36</v>
      </c>
      <c r="I508" s="114" t="s">
        <v>74</v>
      </c>
      <c r="J508" s="114" t="s">
        <v>74</v>
      </c>
      <c r="K508" s="118" t="s">
        <v>10</v>
      </c>
      <c r="L508" s="118" t="s">
        <v>10</v>
      </c>
      <c r="M508" s="119">
        <f>M510+M511</f>
        <v>750526.36</v>
      </c>
      <c r="N508" s="118" t="s">
        <v>10</v>
      </c>
    </row>
    <row r="509" spans="1:14" s="120" customFormat="1" ht="12.75">
      <c r="A509" s="113" t="s">
        <v>364</v>
      </c>
      <c r="B509" s="114"/>
      <c r="C509" s="114"/>
      <c r="D509" s="115"/>
      <c r="E509" s="114"/>
      <c r="F509" s="114"/>
      <c r="G509" s="121"/>
      <c r="H509" s="117"/>
      <c r="I509" s="121"/>
      <c r="J509" s="114"/>
      <c r="K509" s="118"/>
      <c r="L509" s="122"/>
      <c r="M509" s="117"/>
      <c r="N509" s="122"/>
    </row>
    <row r="510" spans="1:14" s="120" customFormat="1" ht="14.25" customHeight="1">
      <c r="A510" s="113" t="s">
        <v>365</v>
      </c>
      <c r="B510" s="114"/>
      <c r="C510" s="114">
        <v>121</v>
      </c>
      <c r="D510" s="115" t="s">
        <v>521</v>
      </c>
      <c r="E510" s="114"/>
      <c r="F510" s="114">
        <v>121</v>
      </c>
      <c r="G510" s="116" t="s">
        <v>363</v>
      </c>
      <c r="H510" s="117">
        <f>SUM(I510:M510)</f>
        <v>700526.36</v>
      </c>
      <c r="I510" s="121"/>
      <c r="J510" s="114"/>
      <c r="K510" s="118"/>
      <c r="L510" s="122"/>
      <c r="M510" s="117">
        <v>700526.36</v>
      </c>
      <c r="N510" s="122"/>
    </row>
    <row r="511" spans="1:14" s="120" customFormat="1" ht="21" customHeight="1">
      <c r="A511" s="113" t="s">
        <v>366</v>
      </c>
      <c r="B511" s="114"/>
      <c r="C511" s="114">
        <v>124</v>
      </c>
      <c r="D511" s="115" t="s">
        <v>521</v>
      </c>
      <c r="E511" s="114"/>
      <c r="F511" s="114">
        <v>124</v>
      </c>
      <c r="G511" s="116" t="s">
        <v>363</v>
      </c>
      <c r="H511" s="117">
        <f>SUM(I511:M511)</f>
        <v>50000</v>
      </c>
      <c r="I511" s="121"/>
      <c r="J511" s="114"/>
      <c r="K511" s="118"/>
      <c r="L511" s="122"/>
      <c r="M511" s="117">
        <v>50000</v>
      </c>
      <c r="N511" s="122"/>
    </row>
    <row r="512" spans="1:14" s="120" customFormat="1" ht="23.25" customHeight="1">
      <c r="A512" s="113" t="s">
        <v>367</v>
      </c>
      <c r="B512" s="114">
        <v>120</v>
      </c>
      <c r="C512" s="114">
        <v>130</v>
      </c>
      <c r="D512" s="115" t="s">
        <v>521</v>
      </c>
      <c r="E512" s="114"/>
      <c r="F512" s="114">
        <v>130</v>
      </c>
      <c r="G512" s="121"/>
      <c r="H512" s="117">
        <f>I512+L512+M512+N512</f>
        <v>62227260.64</v>
      </c>
      <c r="I512" s="117">
        <f>SUM(I513:I538)</f>
        <v>49432260.64</v>
      </c>
      <c r="J512" s="114" t="s">
        <v>74</v>
      </c>
      <c r="K512" s="114" t="s">
        <v>74</v>
      </c>
      <c r="L512" s="117">
        <f>L513+L515+L517+L520+L522+L524+L525+L526+L527+L528+L529+L530+L531+L532+L534+L536+L537+L538</f>
        <v>0</v>
      </c>
      <c r="M512" s="117">
        <f>M513+M515+M517+M520+M522+M524+M525+M526+M527+M528+M529+M530+M531+M532+M534+M536+M537+M538+M516+M539+M540</f>
        <v>12795000</v>
      </c>
      <c r="N512" s="117">
        <f>N513+N515+N517+N520+N522+N524+N525+N526+N527+N528+N529+N530+N531</f>
        <v>0</v>
      </c>
    </row>
    <row r="513" spans="1:14" s="106" customFormat="1" ht="27.75" customHeight="1">
      <c r="A513" s="123" t="s">
        <v>342</v>
      </c>
      <c r="B513" s="488"/>
      <c r="C513" s="488">
        <v>131</v>
      </c>
      <c r="D513" s="488">
        <v>800000000</v>
      </c>
      <c r="E513" s="488"/>
      <c r="F513" s="488">
        <v>131</v>
      </c>
      <c r="G513" s="489" t="s">
        <v>525</v>
      </c>
      <c r="H513" s="484">
        <f>I513+J513+K513+L513+M513</f>
        <v>10758335.66</v>
      </c>
      <c r="I513" s="485">
        <v>10758335.66</v>
      </c>
      <c r="J513" s="124">
        <v>0</v>
      </c>
      <c r="K513" s="111"/>
      <c r="L513" s="110"/>
      <c r="M513" s="124">
        <v>0</v>
      </c>
      <c r="N513" s="124"/>
    </row>
    <row r="514" spans="1:14" s="106" customFormat="1" ht="12" customHeight="1">
      <c r="A514" s="123" t="s">
        <v>356</v>
      </c>
      <c r="B514" s="488"/>
      <c r="C514" s="488">
        <v>131</v>
      </c>
      <c r="D514" s="488">
        <v>800000000</v>
      </c>
      <c r="E514" s="488"/>
      <c r="F514" s="488">
        <v>131</v>
      </c>
      <c r="G514" s="492" t="s">
        <v>524</v>
      </c>
      <c r="H514" s="484">
        <f>I514+J514+K514+L514+M514</f>
        <v>983705.2</v>
      </c>
      <c r="I514" s="485">
        <v>983705.2</v>
      </c>
      <c r="J514" s="124">
        <v>0</v>
      </c>
      <c r="K514" s="111"/>
      <c r="L514" s="110"/>
      <c r="M514" s="124">
        <v>0</v>
      </c>
      <c r="N514" s="124"/>
    </row>
    <row r="515" spans="1:14" s="106" customFormat="1" ht="12" customHeight="1">
      <c r="A515" s="113" t="s">
        <v>343</v>
      </c>
      <c r="B515" s="488"/>
      <c r="C515" s="488">
        <v>131</v>
      </c>
      <c r="D515" s="488">
        <v>800000000</v>
      </c>
      <c r="E515" s="488"/>
      <c r="F515" s="488">
        <v>131</v>
      </c>
      <c r="G515" s="492" t="s">
        <v>524</v>
      </c>
      <c r="H515" s="484">
        <f>I515+J515+K515+L515+M515</f>
        <v>1540928.86</v>
      </c>
      <c r="I515" s="485">
        <v>1540928.86</v>
      </c>
      <c r="J515" s="124">
        <v>0</v>
      </c>
      <c r="K515" s="111"/>
      <c r="L515" s="110"/>
      <c r="M515" s="124">
        <v>0</v>
      </c>
      <c r="N515" s="124"/>
    </row>
    <row r="516" spans="1:14" s="120" customFormat="1" ht="12" customHeight="1">
      <c r="A516" s="113" t="s">
        <v>343</v>
      </c>
      <c r="B516" s="114"/>
      <c r="C516" s="114">
        <v>131</v>
      </c>
      <c r="D516" s="115" t="s">
        <v>521</v>
      </c>
      <c r="E516" s="114"/>
      <c r="F516" s="114">
        <v>131</v>
      </c>
      <c r="G516" s="116" t="s">
        <v>363</v>
      </c>
      <c r="H516" s="117">
        <f aca="true" t="shared" si="37" ref="H516:H536">I516+J516+K516+L516+M516</f>
        <v>2710000</v>
      </c>
      <c r="I516" s="117">
        <v>0</v>
      </c>
      <c r="J516" s="117">
        <v>0</v>
      </c>
      <c r="K516" s="118"/>
      <c r="L516" s="122"/>
      <c r="M516" s="158">
        <v>2710000</v>
      </c>
      <c r="N516" s="117"/>
    </row>
    <row r="517" spans="1:14" s="106" customFormat="1" ht="26.25" customHeight="1">
      <c r="A517" s="107" t="s">
        <v>344</v>
      </c>
      <c r="B517" s="108"/>
      <c r="C517" s="108">
        <v>131</v>
      </c>
      <c r="D517" s="114">
        <v>800000000</v>
      </c>
      <c r="E517" s="108"/>
      <c r="F517" s="108">
        <v>131</v>
      </c>
      <c r="G517" s="179" t="s">
        <v>526</v>
      </c>
      <c r="H517" s="124">
        <f t="shared" si="37"/>
        <v>11457505.6</v>
      </c>
      <c r="I517" s="124">
        <f>292941+8670581.7+2493982.9</f>
        <v>11457505.6</v>
      </c>
      <c r="J517" s="124"/>
      <c r="K517" s="111"/>
      <c r="L517" s="110"/>
      <c r="M517" s="124"/>
      <c r="N517" s="124"/>
    </row>
    <row r="518" spans="1:14" s="106" customFormat="1" ht="26.25" customHeight="1">
      <c r="A518" s="107" t="s">
        <v>344</v>
      </c>
      <c r="B518" s="108"/>
      <c r="C518" s="108">
        <v>131</v>
      </c>
      <c r="D518" s="114">
        <v>800000000</v>
      </c>
      <c r="E518" s="108"/>
      <c r="F518" s="108">
        <v>131</v>
      </c>
      <c r="G518" s="101" t="s">
        <v>527</v>
      </c>
      <c r="H518" s="124">
        <f t="shared" si="37"/>
        <v>1712009.64</v>
      </c>
      <c r="I518" s="124">
        <f>1712009.64</f>
        <v>1712009.64</v>
      </c>
      <c r="J518" s="124"/>
      <c r="K518" s="111"/>
      <c r="L518" s="110"/>
      <c r="M518" s="124"/>
      <c r="N518" s="124"/>
    </row>
    <row r="519" spans="1:14" s="106" customFormat="1" ht="26.25" customHeight="1" hidden="1">
      <c r="A519" s="517" t="s">
        <v>344</v>
      </c>
      <c r="B519" s="500"/>
      <c r="C519" s="500">
        <v>131</v>
      </c>
      <c r="D519" s="488">
        <v>800000000</v>
      </c>
      <c r="E519" s="500"/>
      <c r="F519" s="500">
        <v>131</v>
      </c>
      <c r="G519" s="489" t="s">
        <v>526</v>
      </c>
      <c r="H519" s="484">
        <f t="shared" si="37"/>
        <v>0</v>
      </c>
      <c r="I519" s="485"/>
      <c r="J519" s="124"/>
      <c r="K519" s="111"/>
      <c r="L519" s="110"/>
      <c r="M519" s="124"/>
      <c r="N519" s="124"/>
    </row>
    <row r="520" spans="1:14" s="106" customFormat="1" ht="26.25" customHeight="1">
      <c r="A520" s="107" t="s">
        <v>345</v>
      </c>
      <c r="B520" s="108"/>
      <c r="C520" s="108">
        <v>131</v>
      </c>
      <c r="D520" s="114">
        <v>800000000</v>
      </c>
      <c r="E520" s="108"/>
      <c r="F520" s="108">
        <v>131</v>
      </c>
      <c r="G520" s="179" t="s">
        <v>526</v>
      </c>
      <c r="H520" s="124">
        <f t="shared" si="37"/>
        <v>11162689.2</v>
      </c>
      <c r="I520" s="124">
        <f>360180+10802509.2</f>
        <v>11162689.2</v>
      </c>
      <c r="J520" s="124"/>
      <c r="K520" s="111"/>
      <c r="L520" s="110"/>
      <c r="M520" s="124"/>
      <c r="N520" s="124"/>
    </row>
    <row r="521" spans="1:14" s="106" customFormat="1" ht="27.75" customHeight="1">
      <c r="A521" s="107" t="s">
        <v>345</v>
      </c>
      <c r="B521" s="108"/>
      <c r="C521" s="108">
        <v>131</v>
      </c>
      <c r="D521" s="114">
        <v>800000000</v>
      </c>
      <c r="E521" s="108"/>
      <c r="F521" s="108">
        <v>131</v>
      </c>
      <c r="G521" s="101" t="s">
        <v>527</v>
      </c>
      <c r="H521" s="124">
        <f t="shared" si="37"/>
        <v>1644933.36</v>
      </c>
      <c r="I521" s="124">
        <f>1644933.36</f>
        <v>1644933.36</v>
      </c>
      <c r="J521" s="124"/>
      <c r="K521" s="111"/>
      <c r="L521" s="110"/>
      <c r="M521" s="124"/>
      <c r="N521" s="124"/>
    </row>
    <row r="522" spans="1:14" s="106" customFormat="1" ht="26.25" customHeight="1">
      <c r="A522" s="107" t="s">
        <v>346</v>
      </c>
      <c r="B522" s="108"/>
      <c r="C522" s="108">
        <v>131</v>
      </c>
      <c r="D522" s="114">
        <v>800000000</v>
      </c>
      <c r="E522" s="108"/>
      <c r="F522" s="108">
        <v>131</v>
      </c>
      <c r="G522" s="179" t="s">
        <v>526</v>
      </c>
      <c r="H522" s="124">
        <f t="shared" si="37"/>
        <v>3986028.2</v>
      </c>
      <c r="I522" s="124">
        <f>122248+3863780.2</f>
        <v>3986028.2</v>
      </c>
      <c r="J522" s="124"/>
      <c r="K522" s="111"/>
      <c r="L522" s="110"/>
      <c r="M522" s="124"/>
      <c r="N522" s="124"/>
    </row>
    <row r="523" spans="1:14" s="106" customFormat="1" ht="26.25" customHeight="1">
      <c r="A523" s="107" t="s">
        <v>346</v>
      </c>
      <c r="B523" s="108"/>
      <c r="C523" s="108">
        <v>131</v>
      </c>
      <c r="D523" s="114">
        <v>800000000</v>
      </c>
      <c r="E523" s="108"/>
      <c r="F523" s="108">
        <v>131</v>
      </c>
      <c r="G523" s="101" t="s">
        <v>527</v>
      </c>
      <c r="H523" s="124">
        <f t="shared" si="37"/>
        <v>1031767.92</v>
      </c>
      <c r="I523" s="124">
        <f>555423.64+476344.28</f>
        <v>1031767.92</v>
      </c>
      <c r="J523" s="124"/>
      <c r="K523" s="111"/>
      <c r="L523" s="110"/>
      <c r="M523" s="124"/>
      <c r="N523" s="124"/>
    </row>
    <row r="524" spans="1:14" s="106" customFormat="1" ht="12" customHeight="1">
      <c r="A524" s="107" t="s">
        <v>347</v>
      </c>
      <c r="B524" s="500"/>
      <c r="C524" s="500">
        <v>131</v>
      </c>
      <c r="D524" s="488">
        <v>800000000</v>
      </c>
      <c r="E524" s="500"/>
      <c r="F524" s="500">
        <v>131</v>
      </c>
      <c r="G524" s="492" t="s">
        <v>527</v>
      </c>
      <c r="H524" s="484">
        <f t="shared" si="37"/>
        <v>0</v>
      </c>
      <c r="I524" s="485"/>
      <c r="J524" s="124"/>
      <c r="K524" s="111"/>
      <c r="L524" s="110"/>
      <c r="M524" s="124"/>
      <c r="N524" s="124"/>
    </row>
    <row r="525" spans="1:14" s="106" customFormat="1" ht="27.75" customHeight="1">
      <c r="A525" s="125" t="s">
        <v>517</v>
      </c>
      <c r="B525" s="108"/>
      <c r="C525" s="108">
        <v>131</v>
      </c>
      <c r="D525" s="114">
        <v>800000000</v>
      </c>
      <c r="E525" s="108"/>
      <c r="F525" s="108">
        <v>131</v>
      </c>
      <c r="G525" s="109"/>
      <c r="H525" s="124">
        <f t="shared" si="37"/>
        <v>0</v>
      </c>
      <c r="I525" s="124">
        <v>0</v>
      </c>
      <c r="J525" s="124"/>
      <c r="K525" s="111"/>
      <c r="L525" s="110"/>
      <c r="M525" s="124"/>
      <c r="N525" s="124"/>
    </row>
    <row r="526" spans="1:14" s="106" customFormat="1" ht="44.25" customHeight="1">
      <c r="A526" s="107" t="s">
        <v>348</v>
      </c>
      <c r="B526" s="108"/>
      <c r="C526" s="108">
        <v>131</v>
      </c>
      <c r="D526" s="114">
        <v>800000000</v>
      </c>
      <c r="E526" s="108"/>
      <c r="F526" s="108">
        <v>131</v>
      </c>
      <c r="G526" s="109"/>
      <c r="H526" s="124">
        <f t="shared" si="37"/>
        <v>0</v>
      </c>
      <c r="I526" s="124">
        <v>0</v>
      </c>
      <c r="J526" s="124"/>
      <c r="K526" s="111"/>
      <c r="L526" s="110"/>
      <c r="M526" s="124"/>
      <c r="N526" s="124"/>
    </row>
    <row r="527" spans="1:14" s="106" customFormat="1" ht="22.5" customHeight="1">
      <c r="A527" s="113" t="s">
        <v>349</v>
      </c>
      <c r="B527" s="114"/>
      <c r="C527" s="114">
        <v>131</v>
      </c>
      <c r="D527" s="114">
        <v>800000000</v>
      </c>
      <c r="E527" s="114"/>
      <c r="F527" s="114">
        <v>131</v>
      </c>
      <c r="G527" s="121"/>
      <c r="H527" s="117">
        <f t="shared" si="37"/>
        <v>0</v>
      </c>
      <c r="I527" s="124">
        <v>0</v>
      </c>
      <c r="J527" s="124"/>
      <c r="K527" s="111"/>
      <c r="L527" s="110"/>
      <c r="M527" s="124"/>
      <c r="N527" s="124"/>
    </row>
    <row r="528" spans="1:14" s="106" customFormat="1" ht="31.5" customHeight="1">
      <c r="A528" s="126" t="s">
        <v>350</v>
      </c>
      <c r="B528" s="114"/>
      <c r="C528" s="114">
        <v>131</v>
      </c>
      <c r="D528" s="114">
        <v>800000000</v>
      </c>
      <c r="E528" s="114"/>
      <c r="F528" s="114">
        <v>131</v>
      </c>
      <c r="G528" s="121"/>
      <c r="H528" s="117">
        <f t="shared" si="37"/>
        <v>0</v>
      </c>
      <c r="I528" s="124">
        <v>0</v>
      </c>
      <c r="J528" s="124"/>
      <c r="K528" s="111"/>
      <c r="L528" s="110"/>
      <c r="M528" s="124"/>
      <c r="N528" s="124"/>
    </row>
    <row r="529" spans="1:14" s="106" customFormat="1" ht="43.5" customHeight="1">
      <c r="A529" s="113" t="s">
        <v>351</v>
      </c>
      <c r="B529" s="114"/>
      <c r="C529" s="114">
        <v>131</v>
      </c>
      <c r="D529" s="114">
        <v>800000000</v>
      </c>
      <c r="E529" s="114"/>
      <c r="F529" s="114">
        <v>131</v>
      </c>
      <c r="G529" s="121"/>
      <c r="H529" s="117">
        <f t="shared" si="37"/>
        <v>0</v>
      </c>
      <c r="I529" s="124">
        <v>0</v>
      </c>
      <c r="J529" s="124"/>
      <c r="K529" s="111"/>
      <c r="L529" s="110"/>
      <c r="M529" s="124"/>
      <c r="N529" s="124"/>
    </row>
    <row r="530" spans="1:14" s="106" customFormat="1" ht="33" customHeight="1">
      <c r="A530" s="113" t="s">
        <v>352</v>
      </c>
      <c r="B530" s="114"/>
      <c r="C530" s="114">
        <v>131</v>
      </c>
      <c r="D530" s="114">
        <v>800000000</v>
      </c>
      <c r="E530" s="114"/>
      <c r="F530" s="114">
        <v>131</v>
      </c>
      <c r="G530" s="121"/>
      <c r="H530" s="117">
        <f t="shared" si="37"/>
        <v>0</v>
      </c>
      <c r="I530" s="124">
        <v>0</v>
      </c>
      <c r="J530" s="124"/>
      <c r="K530" s="111"/>
      <c r="L530" s="110"/>
      <c r="M530" s="124"/>
      <c r="N530" s="124"/>
    </row>
    <row r="531" spans="1:14" s="106" customFormat="1" ht="33.75" customHeight="1">
      <c r="A531" s="113" t="s">
        <v>353</v>
      </c>
      <c r="B531" s="114"/>
      <c r="C531" s="114">
        <v>131</v>
      </c>
      <c r="D531" s="114">
        <v>800000000</v>
      </c>
      <c r="E531" s="114"/>
      <c r="F531" s="114">
        <v>131</v>
      </c>
      <c r="G531" s="121"/>
      <c r="H531" s="117">
        <f t="shared" si="37"/>
        <v>0</v>
      </c>
      <c r="I531" s="124">
        <v>0</v>
      </c>
      <c r="J531" s="124"/>
      <c r="K531" s="111"/>
      <c r="L531" s="110"/>
      <c r="M531" s="124"/>
      <c r="N531" s="124"/>
    </row>
    <row r="532" spans="1:14" s="106" customFormat="1" ht="25.5">
      <c r="A532" s="113" t="s">
        <v>51</v>
      </c>
      <c r="B532" s="114"/>
      <c r="C532" s="114">
        <v>131</v>
      </c>
      <c r="D532" s="114">
        <v>800000000</v>
      </c>
      <c r="E532" s="114"/>
      <c r="F532" s="114">
        <v>131</v>
      </c>
      <c r="G532" s="101" t="s">
        <v>527</v>
      </c>
      <c r="H532" s="117">
        <f t="shared" si="37"/>
        <v>1112470</v>
      </c>
      <c r="I532" s="124">
        <f>805176+307294</f>
        <v>1112470</v>
      </c>
      <c r="J532" s="124"/>
      <c r="K532" s="111"/>
      <c r="L532" s="110"/>
      <c r="M532" s="124"/>
      <c r="N532" s="124"/>
    </row>
    <row r="533" spans="1:14" s="106" customFormat="1" ht="25.5" hidden="1">
      <c r="A533" s="113" t="s">
        <v>51</v>
      </c>
      <c r="B533" s="486"/>
      <c r="C533" s="486">
        <v>131</v>
      </c>
      <c r="D533" s="488">
        <v>800000000</v>
      </c>
      <c r="E533" s="486"/>
      <c r="F533" s="486">
        <v>131</v>
      </c>
      <c r="G533" s="493" t="s">
        <v>527</v>
      </c>
      <c r="H533" s="490">
        <f t="shared" si="37"/>
        <v>0</v>
      </c>
      <c r="I533" s="485"/>
      <c r="J533" s="124"/>
      <c r="K533" s="111"/>
      <c r="L533" s="110"/>
      <c r="M533" s="124"/>
      <c r="N533" s="124"/>
    </row>
    <row r="534" spans="1:14" s="106" customFormat="1" ht="12.75">
      <c r="A534" s="113" t="s">
        <v>52</v>
      </c>
      <c r="B534" s="114"/>
      <c r="C534" s="114">
        <v>131</v>
      </c>
      <c r="D534" s="114">
        <v>800000000</v>
      </c>
      <c r="E534" s="114"/>
      <c r="F534" s="114">
        <v>131</v>
      </c>
      <c r="G534" s="101" t="s">
        <v>527</v>
      </c>
      <c r="H534" s="117">
        <f t="shared" si="37"/>
        <v>4041887</v>
      </c>
      <c r="I534" s="124">
        <f>2959713+1082174</f>
        <v>4041887</v>
      </c>
      <c r="J534" s="124"/>
      <c r="K534" s="111"/>
      <c r="L534" s="110"/>
      <c r="M534" s="124"/>
      <c r="N534" s="124"/>
    </row>
    <row r="535" spans="1:14" s="106" customFormat="1" ht="15" hidden="1">
      <c r="A535" s="113" t="s">
        <v>52</v>
      </c>
      <c r="B535" s="486"/>
      <c r="C535" s="486">
        <v>131</v>
      </c>
      <c r="D535" s="488">
        <v>800000000</v>
      </c>
      <c r="E535" s="486"/>
      <c r="F535" s="486">
        <v>131</v>
      </c>
      <c r="G535" s="493" t="s">
        <v>527</v>
      </c>
      <c r="H535" s="490">
        <f t="shared" si="37"/>
        <v>0</v>
      </c>
      <c r="I535" s="485"/>
      <c r="J535" s="124"/>
      <c r="K535" s="111"/>
      <c r="L535" s="110"/>
      <c r="M535" s="124"/>
      <c r="N535" s="124"/>
    </row>
    <row r="536" spans="1:14" s="127" customFormat="1" ht="12.75">
      <c r="A536" s="113" t="s">
        <v>46</v>
      </c>
      <c r="B536" s="114"/>
      <c r="C536" s="114">
        <v>131</v>
      </c>
      <c r="D536" s="115" t="s">
        <v>521</v>
      </c>
      <c r="E536" s="114"/>
      <c r="F536" s="114">
        <v>131</v>
      </c>
      <c r="G536" s="116" t="s">
        <v>363</v>
      </c>
      <c r="H536" s="117">
        <f t="shared" si="37"/>
        <v>7823000</v>
      </c>
      <c r="I536" s="117"/>
      <c r="J536" s="117"/>
      <c r="K536" s="118"/>
      <c r="L536" s="122"/>
      <c r="M536" s="117">
        <f>5670000+2153000</f>
        <v>7823000</v>
      </c>
      <c r="N536" s="117"/>
    </row>
    <row r="537" spans="1:14" s="127" customFormat="1" ht="12.75">
      <c r="A537" s="113" t="s">
        <v>48</v>
      </c>
      <c r="B537" s="114"/>
      <c r="C537" s="114">
        <v>131</v>
      </c>
      <c r="D537" s="115" t="s">
        <v>521</v>
      </c>
      <c r="E537" s="114"/>
      <c r="F537" s="114">
        <v>131</v>
      </c>
      <c r="G537" s="116" t="s">
        <v>363</v>
      </c>
      <c r="H537" s="117">
        <f>I537+J537+K537+L537+M537</f>
        <v>1890000</v>
      </c>
      <c r="I537" s="117"/>
      <c r="J537" s="117"/>
      <c r="K537" s="118"/>
      <c r="L537" s="122"/>
      <c r="M537" s="158">
        <v>1890000</v>
      </c>
      <c r="N537" s="117"/>
    </row>
    <row r="538" spans="1:14" s="127" customFormat="1" ht="15.75" customHeight="1">
      <c r="A538" s="113" t="s">
        <v>368</v>
      </c>
      <c r="B538" s="114"/>
      <c r="C538" s="114">
        <v>134</v>
      </c>
      <c r="D538" s="115" t="s">
        <v>521</v>
      </c>
      <c r="E538" s="114"/>
      <c r="F538" s="114">
        <v>134</v>
      </c>
      <c r="G538" s="116" t="s">
        <v>363</v>
      </c>
      <c r="H538" s="117">
        <f>I538+J538+K538+L538+M538</f>
        <v>0</v>
      </c>
      <c r="I538" s="117"/>
      <c r="J538" s="117"/>
      <c r="K538" s="118"/>
      <c r="L538" s="122"/>
      <c r="M538" s="117"/>
      <c r="N538" s="117"/>
    </row>
    <row r="539" spans="1:14" s="127" customFormat="1" ht="15.75" customHeight="1">
      <c r="A539" s="113" t="s">
        <v>47</v>
      </c>
      <c r="B539" s="114"/>
      <c r="C539" s="114">
        <v>135</v>
      </c>
      <c r="D539" s="115" t="s">
        <v>521</v>
      </c>
      <c r="E539" s="114"/>
      <c r="F539" s="114">
        <v>135</v>
      </c>
      <c r="G539" s="116" t="s">
        <v>363</v>
      </c>
      <c r="H539" s="117">
        <f>I539+J539+K539+L539+M539</f>
        <v>372000</v>
      </c>
      <c r="I539" s="117"/>
      <c r="J539" s="117"/>
      <c r="K539" s="118"/>
      <c r="L539" s="122"/>
      <c r="M539" s="117">
        <f>365000+7000</f>
        <v>372000</v>
      </c>
      <c r="N539" s="117"/>
    </row>
    <row r="540" spans="1:14" s="127" customFormat="1" ht="15.75" customHeight="1">
      <c r="A540" s="113" t="s">
        <v>47</v>
      </c>
      <c r="B540" s="486"/>
      <c r="C540" s="488">
        <v>135</v>
      </c>
      <c r="D540" s="487" t="s">
        <v>521</v>
      </c>
      <c r="E540" s="488"/>
      <c r="F540" s="488">
        <v>135</v>
      </c>
      <c r="G540" s="491" t="s">
        <v>363</v>
      </c>
      <c r="H540" s="490">
        <f>I540+J540+K540+L540+M540</f>
        <v>0</v>
      </c>
      <c r="I540" s="490">
        <v>0</v>
      </c>
      <c r="J540" s="490">
        <v>0</v>
      </c>
      <c r="K540" s="118">
        <v>0</v>
      </c>
      <c r="L540" s="122">
        <v>0</v>
      </c>
      <c r="M540" s="494"/>
      <c r="N540" s="117"/>
    </row>
    <row r="541" spans="1:14" s="133" customFormat="1" ht="21.75" customHeight="1">
      <c r="A541" s="128" t="s">
        <v>432</v>
      </c>
      <c r="B541" s="129">
        <v>130</v>
      </c>
      <c r="C541" s="129">
        <v>140</v>
      </c>
      <c r="D541" s="115" t="s">
        <v>521</v>
      </c>
      <c r="E541" s="129"/>
      <c r="F541" s="129">
        <v>140</v>
      </c>
      <c r="G541" s="130" t="s">
        <v>363</v>
      </c>
      <c r="H541" s="131">
        <f>M541</f>
        <v>0</v>
      </c>
      <c r="I541" s="129" t="s">
        <v>74</v>
      </c>
      <c r="J541" s="129" t="s">
        <v>74</v>
      </c>
      <c r="K541" s="129" t="s">
        <v>74</v>
      </c>
      <c r="L541" s="129" t="s">
        <v>74</v>
      </c>
      <c r="M541" s="132">
        <f>M543+M544+M545+M546+M547</f>
        <v>0</v>
      </c>
      <c r="N541" s="129" t="s">
        <v>74</v>
      </c>
    </row>
    <row r="542" spans="1:14" s="127" customFormat="1" ht="12.75">
      <c r="A542" s="113" t="s">
        <v>364</v>
      </c>
      <c r="B542" s="114"/>
      <c r="C542" s="114"/>
      <c r="D542" s="115"/>
      <c r="E542" s="114"/>
      <c r="F542" s="114"/>
      <c r="G542" s="121"/>
      <c r="H542" s="117"/>
      <c r="I542" s="121"/>
      <c r="J542" s="114"/>
      <c r="K542" s="118"/>
      <c r="L542" s="122"/>
      <c r="M542" s="117"/>
      <c r="N542" s="122"/>
    </row>
    <row r="543" spans="1:14" s="127" customFormat="1" ht="38.25">
      <c r="A543" s="113" t="s">
        <v>369</v>
      </c>
      <c r="B543" s="114"/>
      <c r="C543" s="114">
        <v>141</v>
      </c>
      <c r="D543" s="115" t="s">
        <v>521</v>
      </c>
      <c r="E543" s="114"/>
      <c r="F543" s="114">
        <v>141</v>
      </c>
      <c r="G543" s="116" t="s">
        <v>363</v>
      </c>
      <c r="H543" s="117">
        <f>I543+J543+K543+L543+M543</f>
        <v>0</v>
      </c>
      <c r="I543" s="121"/>
      <c r="J543" s="114"/>
      <c r="K543" s="118"/>
      <c r="L543" s="122"/>
      <c r="M543" s="117"/>
      <c r="N543" s="122"/>
    </row>
    <row r="544" spans="1:14" s="127" customFormat="1" ht="25.5">
      <c r="A544" s="113" t="s">
        <v>370</v>
      </c>
      <c r="B544" s="114"/>
      <c r="C544" s="114">
        <v>142</v>
      </c>
      <c r="D544" s="115" t="s">
        <v>521</v>
      </c>
      <c r="E544" s="114"/>
      <c r="F544" s="114">
        <v>142</v>
      </c>
      <c r="G544" s="116" t="s">
        <v>363</v>
      </c>
      <c r="H544" s="117">
        <f>I544+J544+K544+L544+M544</f>
        <v>0</v>
      </c>
      <c r="I544" s="121"/>
      <c r="J544" s="114"/>
      <c r="K544" s="118"/>
      <c r="L544" s="122"/>
      <c r="M544" s="117"/>
      <c r="N544" s="122"/>
    </row>
    <row r="545" spans="1:14" s="127" customFormat="1" ht="15" customHeight="1">
      <c r="A545" s="113" t="s">
        <v>371</v>
      </c>
      <c r="B545" s="114"/>
      <c r="C545" s="114">
        <v>143</v>
      </c>
      <c r="D545" s="115" t="s">
        <v>521</v>
      </c>
      <c r="E545" s="114"/>
      <c r="F545" s="114">
        <v>143</v>
      </c>
      <c r="G545" s="116" t="s">
        <v>363</v>
      </c>
      <c r="H545" s="117">
        <f>I545+J545+K545+L545+M545</f>
        <v>0</v>
      </c>
      <c r="I545" s="121"/>
      <c r="J545" s="114"/>
      <c r="K545" s="118"/>
      <c r="L545" s="122"/>
      <c r="M545" s="117"/>
      <c r="N545" s="122"/>
    </row>
    <row r="546" spans="1:14" s="127" customFormat="1" ht="15" customHeight="1">
      <c r="A546" s="113" t="s">
        <v>372</v>
      </c>
      <c r="B546" s="114"/>
      <c r="C546" s="114">
        <v>144</v>
      </c>
      <c r="D546" s="115" t="s">
        <v>521</v>
      </c>
      <c r="E546" s="114"/>
      <c r="F546" s="114">
        <v>144</v>
      </c>
      <c r="G546" s="116" t="s">
        <v>363</v>
      </c>
      <c r="H546" s="117">
        <f>I546+J546+K546+L546+M546</f>
        <v>0</v>
      </c>
      <c r="I546" s="121"/>
      <c r="J546" s="114"/>
      <c r="K546" s="118"/>
      <c r="L546" s="122"/>
      <c r="M546" s="117"/>
      <c r="N546" s="122"/>
    </row>
    <row r="547" spans="1:14" s="127" customFormat="1" ht="23.25" customHeight="1">
      <c r="A547" s="113" t="s">
        <v>373</v>
      </c>
      <c r="B547" s="114"/>
      <c r="C547" s="114">
        <v>145</v>
      </c>
      <c r="D547" s="115" t="s">
        <v>521</v>
      </c>
      <c r="E547" s="114"/>
      <c r="F547" s="114">
        <v>145</v>
      </c>
      <c r="G547" s="116" t="s">
        <v>363</v>
      </c>
      <c r="H547" s="117">
        <f>I547+J547+K547+L547+M547</f>
        <v>0</v>
      </c>
      <c r="I547" s="121"/>
      <c r="J547" s="114"/>
      <c r="K547" s="118"/>
      <c r="L547" s="122"/>
      <c r="M547" s="117"/>
      <c r="N547" s="122"/>
    </row>
    <row r="548" spans="1:14" s="106" customFormat="1" ht="50.25" customHeight="1">
      <c r="A548" s="113" t="s">
        <v>49</v>
      </c>
      <c r="B548" s="114">
        <v>140</v>
      </c>
      <c r="C548" s="114"/>
      <c r="D548" s="115" t="s">
        <v>521</v>
      </c>
      <c r="E548" s="114"/>
      <c r="F548" s="114"/>
      <c r="G548" s="121"/>
      <c r="H548" s="117">
        <f>M548</f>
        <v>0</v>
      </c>
      <c r="I548" s="108" t="s">
        <v>74</v>
      </c>
      <c r="J548" s="108" t="s">
        <v>74</v>
      </c>
      <c r="K548" s="108" t="s">
        <v>74</v>
      </c>
      <c r="L548" s="108" t="s">
        <v>74</v>
      </c>
      <c r="M548" s="108"/>
      <c r="N548" s="108" t="s">
        <v>74</v>
      </c>
    </row>
    <row r="549" spans="1:14" s="106" customFormat="1" ht="31.5" customHeight="1">
      <c r="A549" s="113" t="s">
        <v>167</v>
      </c>
      <c r="B549" s="488">
        <v>150</v>
      </c>
      <c r="C549" s="488">
        <v>150</v>
      </c>
      <c r="D549" s="488">
        <v>901000000</v>
      </c>
      <c r="E549" s="488"/>
      <c r="F549" s="488">
        <v>150</v>
      </c>
      <c r="G549" s="499"/>
      <c r="H549" s="490">
        <f aca="true" t="shared" si="38" ref="H549:H557">J549+K549</f>
        <v>906467.97</v>
      </c>
      <c r="I549" s="500" t="s">
        <v>74</v>
      </c>
      <c r="J549" s="516">
        <f>SUM(J550:J557)</f>
        <v>906467.97</v>
      </c>
      <c r="K549" s="108">
        <f>K550</f>
        <v>0</v>
      </c>
      <c r="L549" s="108" t="s">
        <v>74</v>
      </c>
      <c r="M549" s="108" t="s">
        <v>74</v>
      </c>
      <c r="N549" s="108" t="s">
        <v>74</v>
      </c>
    </row>
    <row r="550" spans="1:14" s="106" customFormat="1" ht="31.5" customHeight="1">
      <c r="A550" s="113" t="s">
        <v>831</v>
      </c>
      <c r="B550" s="488"/>
      <c r="C550" s="488">
        <v>152</v>
      </c>
      <c r="D550" s="488">
        <v>901480000</v>
      </c>
      <c r="E550" s="488"/>
      <c r="F550" s="488">
        <v>152</v>
      </c>
      <c r="G550" s="499" t="s">
        <v>526</v>
      </c>
      <c r="H550" s="490">
        <f t="shared" si="38"/>
        <v>364383</v>
      </c>
      <c r="I550" s="500">
        <v>0</v>
      </c>
      <c r="J550" s="485">
        <v>364383</v>
      </c>
      <c r="K550" s="111"/>
      <c r="L550" s="108" t="s">
        <v>74</v>
      </c>
      <c r="M550" s="108" t="s">
        <v>74</v>
      </c>
      <c r="N550" s="108" t="s">
        <v>74</v>
      </c>
    </row>
    <row r="551" spans="1:14" s="106" customFormat="1" ht="31.5" customHeight="1">
      <c r="A551" s="113" t="s">
        <v>236</v>
      </c>
      <c r="B551" s="488"/>
      <c r="C551" s="488">
        <v>152</v>
      </c>
      <c r="D551" s="488">
        <v>901160000</v>
      </c>
      <c r="E551" s="488"/>
      <c r="F551" s="488">
        <v>152</v>
      </c>
      <c r="G551" s="499" t="s">
        <v>526</v>
      </c>
      <c r="H551" s="490">
        <f t="shared" si="38"/>
        <v>129583</v>
      </c>
      <c r="I551" s="500">
        <v>0</v>
      </c>
      <c r="J551" s="485">
        <v>129583</v>
      </c>
      <c r="K551" s="111"/>
      <c r="L551" s="108"/>
      <c r="M551" s="108"/>
      <c r="N551" s="108"/>
    </row>
    <row r="552" spans="1:14" s="106" customFormat="1" ht="31.5" customHeight="1">
      <c r="A552" s="113" t="s">
        <v>832</v>
      </c>
      <c r="B552" s="488"/>
      <c r="C552" s="488">
        <v>152</v>
      </c>
      <c r="D552" s="488">
        <v>901830000</v>
      </c>
      <c r="E552" s="488"/>
      <c r="F552" s="488">
        <v>152</v>
      </c>
      <c r="G552" s="499" t="s">
        <v>526</v>
      </c>
      <c r="H552" s="490">
        <f t="shared" si="38"/>
        <v>68595.97</v>
      </c>
      <c r="I552" s="500">
        <v>0</v>
      </c>
      <c r="J552" s="485">
        <v>68595.97</v>
      </c>
      <c r="K552" s="111"/>
      <c r="L552" s="108"/>
      <c r="M552" s="108"/>
      <c r="N552" s="108"/>
    </row>
    <row r="553" spans="1:14" s="106" customFormat="1" ht="31.5" customHeight="1">
      <c r="A553" s="113" t="s">
        <v>834</v>
      </c>
      <c r="B553" s="488"/>
      <c r="C553" s="488">
        <v>152</v>
      </c>
      <c r="D553" s="488">
        <v>901140000</v>
      </c>
      <c r="E553" s="488"/>
      <c r="F553" s="488">
        <v>152</v>
      </c>
      <c r="G553" s="499" t="s">
        <v>526</v>
      </c>
      <c r="H553" s="490">
        <f t="shared" si="38"/>
        <v>56596</v>
      </c>
      <c r="I553" s="500">
        <v>0</v>
      </c>
      <c r="J553" s="485">
        <v>56596</v>
      </c>
      <c r="K553" s="111"/>
      <c r="L553" s="108" t="s">
        <v>74</v>
      </c>
      <c r="M553" s="108" t="s">
        <v>74</v>
      </c>
      <c r="N553" s="108" t="s">
        <v>74</v>
      </c>
    </row>
    <row r="554" spans="1:14" s="106" customFormat="1" ht="31.5" customHeight="1">
      <c r="A554" s="113" t="s">
        <v>835</v>
      </c>
      <c r="B554" s="488"/>
      <c r="C554" s="488">
        <v>152</v>
      </c>
      <c r="D554" s="488">
        <v>901140000</v>
      </c>
      <c r="E554" s="488"/>
      <c r="F554" s="488">
        <v>152</v>
      </c>
      <c r="G554" s="499" t="s">
        <v>526</v>
      </c>
      <c r="H554" s="490">
        <f t="shared" si="38"/>
        <v>13862</v>
      </c>
      <c r="I554" s="500">
        <v>0</v>
      </c>
      <c r="J554" s="485">
        <v>13862</v>
      </c>
      <c r="K554" s="111"/>
      <c r="L554" s="108" t="s">
        <v>74</v>
      </c>
      <c r="M554" s="108" t="s">
        <v>74</v>
      </c>
      <c r="N554" s="108" t="s">
        <v>74</v>
      </c>
    </row>
    <row r="555" spans="1:14" s="106" customFormat="1" ht="31.5" customHeight="1">
      <c r="A555" s="113" t="s">
        <v>836</v>
      </c>
      <c r="B555" s="488"/>
      <c r="C555" s="488">
        <v>152</v>
      </c>
      <c r="D555" s="488">
        <v>901150000</v>
      </c>
      <c r="E555" s="488"/>
      <c r="F555" s="488">
        <v>152</v>
      </c>
      <c r="G555" s="499" t="s">
        <v>526</v>
      </c>
      <c r="H555" s="490">
        <f t="shared" si="38"/>
        <v>67915</v>
      </c>
      <c r="I555" s="500">
        <v>0</v>
      </c>
      <c r="J555" s="485">
        <v>67915</v>
      </c>
      <c r="K555" s="111"/>
      <c r="L555" s="108" t="s">
        <v>74</v>
      </c>
      <c r="M555" s="108" t="s">
        <v>74</v>
      </c>
      <c r="N555" s="108" t="s">
        <v>74</v>
      </c>
    </row>
    <row r="556" spans="1:14" s="106" customFormat="1" ht="31.5" customHeight="1">
      <c r="A556" s="113" t="s">
        <v>241</v>
      </c>
      <c r="B556" s="488"/>
      <c r="C556" s="488">
        <v>152</v>
      </c>
      <c r="D556" s="501">
        <v>901210000</v>
      </c>
      <c r="E556" s="488"/>
      <c r="F556" s="488">
        <v>152</v>
      </c>
      <c r="G556" s="491" t="s">
        <v>528</v>
      </c>
      <c r="H556" s="490">
        <f t="shared" si="38"/>
        <v>105533</v>
      </c>
      <c r="I556" s="500">
        <v>0</v>
      </c>
      <c r="J556" s="485">
        <v>105533</v>
      </c>
      <c r="K556" s="111"/>
      <c r="L556" s="108" t="s">
        <v>74</v>
      </c>
      <c r="M556" s="108" t="s">
        <v>74</v>
      </c>
      <c r="N556" s="108" t="s">
        <v>74</v>
      </c>
    </row>
    <row r="557" spans="1:14" s="106" customFormat="1" ht="31.5" customHeight="1">
      <c r="A557" s="113" t="s">
        <v>837</v>
      </c>
      <c r="B557" s="488"/>
      <c r="C557" s="488">
        <v>152</v>
      </c>
      <c r="D557" s="488">
        <v>901480000</v>
      </c>
      <c r="E557" s="488"/>
      <c r="F557" s="488">
        <v>152</v>
      </c>
      <c r="G557" s="499" t="s">
        <v>526</v>
      </c>
      <c r="H557" s="490">
        <f t="shared" si="38"/>
        <v>100000</v>
      </c>
      <c r="I557" s="500">
        <v>0</v>
      </c>
      <c r="J557" s="485">
        <v>100000</v>
      </c>
      <c r="K557" s="111"/>
      <c r="L557" s="108" t="s">
        <v>74</v>
      </c>
      <c r="M557" s="108" t="s">
        <v>74</v>
      </c>
      <c r="N557" s="108" t="s">
        <v>74</v>
      </c>
    </row>
    <row r="558" spans="1:14" s="106" customFormat="1" ht="31.5" customHeight="1">
      <c r="A558" s="113" t="s">
        <v>167</v>
      </c>
      <c r="B558" s="114">
        <v>150</v>
      </c>
      <c r="C558" s="114">
        <v>152</v>
      </c>
      <c r="D558" s="114">
        <v>901750000</v>
      </c>
      <c r="E558" s="114"/>
      <c r="F558" s="114">
        <v>152</v>
      </c>
      <c r="G558" s="121" t="s">
        <v>534</v>
      </c>
      <c r="H558" s="117">
        <f>J558+K558</f>
        <v>0</v>
      </c>
      <c r="I558" s="108"/>
      <c r="J558" s="124">
        <v>0</v>
      </c>
      <c r="K558" s="111"/>
      <c r="L558" s="108"/>
      <c r="M558" s="109"/>
      <c r="N558" s="109"/>
    </row>
    <row r="559" spans="1:14" s="127" customFormat="1" ht="18" customHeight="1">
      <c r="A559" s="113" t="s">
        <v>210</v>
      </c>
      <c r="B559" s="114">
        <v>160</v>
      </c>
      <c r="C559" s="114">
        <v>180</v>
      </c>
      <c r="D559" s="115" t="s">
        <v>521</v>
      </c>
      <c r="E559" s="114"/>
      <c r="F559" s="114">
        <v>180</v>
      </c>
      <c r="G559" s="116" t="s">
        <v>363</v>
      </c>
      <c r="H559" s="117">
        <f aca="true" t="shared" si="39" ref="H559:H565">M559</f>
        <v>0</v>
      </c>
      <c r="I559" s="114" t="s">
        <v>74</v>
      </c>
      <c r="J559" s="114" t="s">
        <v>74</v>
      </c>
      <c r="K559" s="114" t="s">
        <v>74</v>
      </c>
      <c r="L559" s="114" t="s">
        <v>74</v>
      </c>
      <c r="M559" s="117">
        <f>M560+M561</f>
        <v>0</v>
      </c>
      <c r="N559" s="117">
        <f>N560+N561</f>
        <v>0</v>
      </c>
    </row>
    <row r="560" spans="1:14" s="127" customFormat="1" ht="15" customHeight="1">
      <c r="A560" s="134" t="s">
        <v>133</v>
      </c>
      <c r="B560" s="114"/>
      <c r="C560" s="114">
        <v>189</v>
      </c>
      <c r="D560" s="115" t="s">
        <v>521</v>
      </c>
      <c r="E560" s="114"/>
      <c r="F560" s="114">
        <v>189</v>
      </c>
      <c r="G560" s="116" t="s">
        <v>363</v>
      </c>
      <c r="H560" s="117">
        <f t="shared" si="39"/>
        <v>0</v>
      </c>
      <c r="I560" s="117"/>
      <c r="J560" s="117"/>
      <c r="K560" s="118"/>
      <c r="L560" s="122"/>
      <c r="M560" s="117"/>
      <c r="N560" s="117"/>
    </row>
    <row r="561" spans="1:14" s="127" customFormat="1" ht="15" customHeight="1">
      <c r="A561" s="134" t="s">
        <v>134</v>
      </c>
      <c r="B561" s="114"/>
      <c r="C561" s="114">
        <v>189</v>
      </c>
      <c r="D561" s="115" t="s">
        <v>521</v>
      </c>
      <c r="E561" s="114"/>
      <c r="F561" s="114">
        <v>189</v>
      </c>
      <c r="G561" s="116" t="s">
        <v>363</v>
      </c>
      <c r="H561" s="117">
        <f t="shared" si="39"/>
        <v>0</v>
      </c>
      <c r="I561" s="117"/>
      <c r="J561" s="117"/>
      <c r="K561" s="118"/>
      <c r="L561" s="122"/>
      <c r="M561" s="117"/>
      <c r="N561" s="117"/>
    </row>
    <row r="562" spans="1:14" s="127" customFormat="1" ht="23.25" customHeight="1">
      <c r="A562" s="113" t="s">
        <v>211</v>
      </c>
      <c r="B562" s="114">
        <v>180</v>
      </c>
      <c r="C562" s="114">
        <v>400</v>
      </c>
      <c r="D562" s="115" t="s">
        <v>521</v>
      </c>
      <c r="E562" s="114" t="s">
        <v>74</v>
      </c>
      <c r="F562" s="114">
        <v>400</v>
      </c>
      <c r="G562" s="116" t="s">
        <v>363</v>
      </c>
      <c r="H562" s="117">
        <f t="shared" si="39"/>
        <v>0</v>
      </c>
      <c r="I562" s="114" t="s">
        <v>74</v>
      </c>
      <c r="J562" s="114" t="s">
        <v>74</v>
      </c>
      <c r="K562" s="114" t="s">
        <v>74</v>
      </c>
      <c r="L562" s="114" t="s">
        <v>74</v>
      </c>
      <c r="M562" s="117">
        <f>M563+M564+M565+M567+M566</f>
        <v>0</v>
      </c>
      <c r="N562" s="114" t="s">
        <v>74</v>
      </c>
    </row>
    <row r="563" spans="1:14" s="127" customFormat="1" ht="23.25" customHeight="1">
      <c r="A563" s="135" t="s">
        <v>374</v>
      </c>
      <c r="B563" s="114"/>
      <c r="C563" s="114">
        <v>410</v>
      </c>
      <c r="D563" s="115" t="s">
        <v>521</v>
      </c>
      <c r="E563" s="114"/>
      <c r="F563" s="114">
        <v>410</v>
      </c>
      <c r="G563" s="116" t="s">
        <v>363</v>
      </c>
      <c r="H563" s="117">
        <f t="shared" si="39"/>
        <v>0</v>
      </c>
      <c r="I563" s="117"/>
      <c r="J563" s="117"/>
      <c r="K563" s="118"/>
      <c r="L563" s="122"/>
      <c r="M563" s="117"/>
      <c r="N563" s="117"/>
    </row>
    <row r="564" spans="1:14" s="127" customFormat="1" ht="23.25" customHeight="1">
      <c r="A564" s="135" t="s">
        <v>375</v>
      </c>
      <c r="B564" s="114"/>
      <c r="C564" s="114">
        <v>420</v>
      </c>
      <c r="D564" s="115" t="s">
        <v>521</v>
      </c>
      <c r="E564" s="114"/>
      <c r="F564" s="114">
        <v>420</v>
      </c>
      <c r="G564" s="116" t="s">
        <v>363</v>
      </c>
      <c r="H564" s="117">
        <f t="shared" si="39"/>
        <v>0</v>
      </c>
      <c r="I564" s="117"/>
      <c r="J564" s="117"/>
      <c r="K564" s="118"/>
      <c r="L564" s="122"/>
      <c r="M564" s="117"/>
      <c r="N564" s="117"/>
    </row>
    <row r="565" spans="1:14" s="127" customFormat="1" ht="23.25" customHeight="1">
      <c r="A565" s="135" t="s">
        <v>376</v>
      </c>
      <c r="B565" s="114"/>
      <c r="C565" s="114">
        <v>430</v>
      </c>
      <c r="D565" s="115" t="s">
        <v>521</v>
      </c>
      <c r="E565" s="114"/>
      <c r="F565" s="114">
        <v>430</v>
      </c>
      <c r="G565" s="116" t="s">
        <v>363</v>
      </c>
      <c r="H565" s="117">
        <f t="shared" si="39"/>
        <v>0</v>
      </c>
      <c r="I565" s="117"/>
      <c r="J565" s="117"/>
      <c r="K565" s="118"/>
      <c r="L565" s="122"/>
      <c r="M565" s="117"/>
      <c r="N565" s="117"/>
    </row>
    <row r="566" spans="1:14" s="120" customFormat="1" ht="23.25" customHeight="1">
      <c r="A566" s="135" t="s">
        <v>425</v>
      </c>
      <c r="B566" s="114"/>
      <c r="C566" s="114">
        <v>440</v>
      </c>
      <c r="D566" s="115" t="s">
        <v>521</v>
      </c>
      <c r="E566" s="114"/>
      <c r="F566" s="114">
        <v>440</v>
      </c>
      <c r="G566" s="116" t="s">
        <v>363</v>
      </c>
      <c r="H566" s="117">
        <f>M566</f>
        <v>0</v>
      </c>
      <c r="I566" s="117"/>
      <c r="J566" s="117"/>
      <c r="K566" s="118"/>
      <c r="L566" s="122"/>
      <c r="M566" s="117"/>
      <c r="N566" s="117"/>
    </row>
    <row r="567" spans="1:14" s="127" customFormat="1" ht="23.25" customHeight="1">
      <c r="A567" s="135" t="s">
        <v>377</v>
      </c>
      <c r="B567" s="114"/>
      <c r="C567" s="114">
        <v>450</v>
      </c>
      <c r="D567" s="115" t="s">
        <v>521</v>
      </c>
      <c r="E567" s="114"/>
      <c r="F567" s="114">
        <v>450</v>
      </c>
      <c r="G567" s="116" t="s">
        <v>363</v>
      </c>
      <c r="H567" s="117">
        <f>M567</f>
        <v>0</v>
      </c>
      <c r="I567" s="117"/>
      <c r="J567" s="117"/>
      <c r="K567" s="118"/>
      <c r="L567" s="122"/>
      <c r="M567" s="117"/>
      <c r="N567" s="117"/>
    </row>
    <row r="568" spans="1:14" s="8" customFormat="1" ht="11.25" customHeight="1">
      <c r="A568" s="136" t="s">
        <v>44</v>
      </c>
      <c r="B568" s="137">
        <v>200</v>
      </c>
      <c r="C568" s="137"/>
      <c r="D568" s="137"/>
      <c r="E568" s="137"/>
      <c r="F568" s="138"/>
      <c r="G568" s="138"/>
      <c r="H568" s="139">
        <f aca="true" t="shared" si="40" ref="H568:N568">H570+H593+H604+H620+H621+H625</f>
        <v>63884254.97</v>
      </c>
      <c r="I568" s="139">
        <f t="shared" si="40"/>
        <v>49432260.64</v>
      </c>
      <c r="J568" s="139">
        <f>J570+J593+J604+J620+J621+J625</f>
        <v>906467.97</v>
      </c>
      <c r="K568" s="139">
        <f t="shared" si="40"/>
        <v>0</v>
      </c>
      <c r="L568" s="139">
        <f t="shared" si="40"/>
        <v>0</v>
      </c>
      <c r="M568" s="139">
        <f>M570+M604+M625</f>
        <v>13545526.36</v>
      </c>
      <c r="N568" s="139">
        <f t="shared" si="40"/>
        <v>0</v>
      </c>
    </row>
    <row r="569" spans="1:14" s="8" customFormat="1" ht="13.5" customHeight="1">
      <c r="A569" s="140" t="s">
        <v>4</v>
      </c>
      <c r="B569" s="108"/>
      <c r="C569" s="108"/>
      <c r="D569" s="108"/>
      <c r="E569" s="108"/>
      <c r="F569" s="108"/>
      <c r="G569" s="109"/>
      <c r="H569" s="124"/>
      <c r="I569" s="124"/>
      <c r="J569" s="124"/>
      <c r="K569" s="112"/>
      <c r="L569" s="112"/>
      <c r="M569" s="112"/>
      <c r="N569" s="112"/>
    </row>
    <row r="570" spans="1:14" s="8" customFormat="1" ht="13.5" customHeight="1">
      <c r="A570" s="140" t="s">
        <v>296</v>
      </c>
      <c r="B570" s="108">
        <v>210</v>
      </c>
      <c r="C570" s="108"/>
      <c r="D570" s="108"/>
      <c r="E570" s="108"/>
      <c r="F570" s="108"/>
      <c r="G570" s="109"/>
      <c r="H570" s="124">
        <f>H572</f>
        <v>41339248.49</v>
      </c>
      <c r="I570" s="124">
        <f>I572+I583</f>
        <v>36305946.660000004</v>
      </c>
      <c r="J570" s="124">
        <f>J572</f>
        <v>662561.97</v>
      </c>
      <c r="K570" s="124">
        <f>K572</f>
        <v>0</v>
      </c>
      <c r="L570" s="124">
        <f>L572</f>
        <v>0</v>
      </c>
      <c r="M570" s="124">
        <f>M572</f>
        <v>4370739.859999999</v>
      </c>
      <c r="N570" s="124">
        <f>N572</f>
        <v>0</v>
      </c>
    </row>
    <row r="571" spans="1:14" s="8" customFormat="1" ht="13.5" customHeight="1">
      <c r="A571" s="141" t="s">
        <v>3</v>
      </c>
      <c r="B571" s="114"/>
      <c r="C571" s="114"/>
      <c r="D571" s="114"/>
      <c r="E571" s="114"/>
      <c r="F571" s="114"/>
      <c r="G571" s="121"/>
      <c r="H571" s="117"/>
      <c r="I571" s="124"/>
      <c r="J571" s="124"/>
      <c r="K571" s="112"/>
      <c r="L571" s="112"/>
      <c r="M571" s="112"/>
      <c r="N571" s="112"/>
    </row>
    <row r="572" spans="1:14" s="8" customFormat="1" ht="25.5" customHeight="1">
      <c r="A572" s="141" t="s">
        <v>297</v>
      </c>
      <c r="B572" s="114">
        <v>211</v>
      </c>
      <c r="C572" s="114"/>
      <c r="D572" s="114"/>
      <c r="E572" s="114"/>
      <c r="F572" s="114"/>
      <c r="G572" s="121"/>
      <c r="H572" s="117">
        <f>SUM(H574:H591)</f>
        <v>41339248.49</v>
      </c>
      <c r="I572" s="124">
        <f>I574+I582+I584+I585+I575+I576+I586+I587</f>
        <v>36304566.660000004</v>
      </c>
      <c r="J572" s="124">
        <f>SUM(J574:J590)</f>
        <v>662561.97</v>
      </c>
      <c r="K572" s="124">
        <f>K574+K582+K584+K585</f>
        <v>0</v>
      </c>
      <c r="L572" s="124">
        <f>L574+L582+L584+L585</f>
        <v>0</v>
      </c>
      <c r="M572" s="124">
        <f>SUM(M574:M592)</f>
        <v>4370739.859999999</v>
      </c>
      <c r="N572" s="124">
        <f>N574+N582+N584+N585</f>
        <v>0</v>
      </c>
    </row>
    <row r="573" spans="1:14" s="8" customFormat="1" ht="16.5" customHeight="1">
      <c r="A573" s="141" t="s">
        <v>4</v>
      </c>
      <c r="B573" s="114"/>
      <c r="C573" s="114"/>
      <c r="D573" s="114"/>
      <c r="E573" s="114"/>
      <c r="F573" s="114"/>
      <c r="G573" s="121"/>
      <c r="H573" s="117"/>
      <c r="I573" s="124"/>
      <c r="J573" s="124"/>
      <c r="K573" s="112"/>
      <c r="L573" s="112"/>
      <c r="M573" s="112"/>
      <c r="N573" s="112"/>
    </row>
    <row r="574" spans="1:14" s="8" customFormat="1" ht="16.5" customHeight="1">
      <c r="A574" s="141" t="s">
        <v>298</v>
      </c>
      <c r="B574" s="114"/>
      <c r="C574" s="114">
        <v>211</v>
      </c>
      <c r="D574" s="114">
        <v>800000000</v>
      </c>
      <c r="E574" s="114">
        <v>111</v>
      </c>
      <c r="F574" s="114">
        <v>211</v>
      </c>
      <c r="G574" s="101" t="s">
        <v>523</v>
      </c>
      <c r="H574" s="117">
        <f aca="true" t="shared" si="41" ref="H574:H579">I574+J574+K574+L574+M574+N574</f>
        <v>19814428.33</v>
      </c>
      <c r="I574" s="124">
        <f>17923864.13+1890564.2</f>
        <v>19814428.33</v>
      </c>
      <c r="J574" s="124"/>
      <c r="K574" s="112"/>
      <c r="L574" s="112"/>
      <c r="M574" s="112"/>
      <c r="N574" s="112"/>
    </row>
    <row r="575" spans="1:14" s="8" customFormat="1" ht="16.5" customHeight="1">
      <c r="A575" s="141" t="s">
        <v>298</v>
      </c>
      <c r="B575" s="486"/>
      <c r="C575" s="486">
        <v>211</v>
      </c>
      <c r="D575" s="488">
        <v>800000000</v>
      </c>
      <c r="E575" s="486">
        <v>111</v>
      </c>
      <c r="F575" s="486">
        <v>211</v>
      </c>
      <c r="G575" s="489" t="s">
        <v>826</v>
      </c>
      <c r="H575" s="490">
        <f t="shared" si="41"/>
        <v>8069263.48</v>
      </c>
      <c r="I575" s="485">
        <v>8069263.48</v>
      </c>
      <c r="J575" s="124"/>
      <c r="K575" s="112"/>
      <c r="L575" s="112"/>
      <c r="M575" s="112"/>
      <c r="N575" s="112"/>
    </row>
    <row r="576" spans="1:14" s="8" customFormat="1" ht="16.5" customHeight="1">
      <c r="A576" s="141" t="s">
        <v>298</v>
      </c>
      <c r="B576" s="486"/>
      <c r="C576" s="486">
        <v>211</v>
      </c>
      <c r="D576" s="488">
        <v>800000000</v>
      </c>
      <c r="E576" s="486">
        <v>111</v>
      </c>
      <c r="F576" s="486">
        <v>211</v>
      </c>
      <c r="G576" s="489" t="s">
        <v>523</v>
      </c>
      <c r="H576" s="490">
        <f t="shared" si="41"/>
        <v>0</v>
      </c>
      <c r="I576" s="485"/>
      <c r="J576" s="124"/>
      <c r="K576" s="112"/>
      <c r="L576" s="112"/>
      <c r="M576" s="112"/>
      <c r="N576" s="112"/>
    </row>
    <row r="577" spans="1:14" s="8" customFormat="1" ht="16.5" customHeight="1">
      <c r="A577" s="141" t="s">
        <v>298</v>
      </c>
      <c r="B577" s="486"/>
      <c r="C577" s="486">
        <v>211</v>
      </c>
      <c r="D577" s="488">
        <v>901480000</v>
      </c>
      <c r="E577" s="486">
        <v>111</v>
      </c>
      <c r="F577" s="486">
        <v>211</v>
      </c>
      <c r="G577" s="499" t="s">
        <v>523</v>
      </c>
      <c r="H577" s="490">
        <f t="shared" si="41"/>
        <v>279864.68</v>
      </c>
      <c r="I577" s="484">
        <v>0</v>
      </c>
      <c r="J577" s="485">
        <v>279864.68</v>
      </c>
      <c r="K577" s="112"/>
      <c r="L577" s="112"/>
      <c r="M577" s="112"/>
      <c r="N577" s="112"/>
    </row>
    <row r="578" spans="1:14" s="8" customFormat="1" ht="16.5" customHeight="1">
      <c r="A578" s="141" t="s">
        <v>298</v>
      </c>
      <c r="B578" s="486"/>
      <c r="C578" s="486">
        <v>211</v>
      </c>
      <c r="D578" s="488">
        <v>901160000</v>
      </c>
      <c r="E578" s="486">
        <v>111</v>
      </c>
      <c r="F578" s="486">
        <v>211</v>
      </c>
      <c r="G578" s="499" t="s">
        <v>523</v>
      </c>
      <c r="H578" s="490">
        <f t="shared" si="41"/>
        <v>99526.11</v>
      </c>
      <c r="I578" s="484">
        <v>0</v>
      </c>
      <c r="J578" s="485">
        <v>99526.11</v>
      </c>
      <c r="K578" s="112"/>
      <c r="L578" s="112"/>
      <c r="M578" s="112"/>
      <c r="N578" s="112"/>
    </row>
    <row r="579" spans="1:14" s="8" customFormat="1" ht="16.5" customHeight="1">
      <c r="A579" s="141" t="s">
        <v>298</v>
      </c>
      <c r="B579" s="486"/>
      <c r="C579" s="486">
        <v>211</v>
      </c>
      <c r="D579" s="488">
        <v>901830000</v>
      </c>
      <c r="E579" s="486">
        <v>111</v>
      </c>
      <c r="F579" s="486">
        <v>211</v>
      </c>
      <c r="G579" s="499" t="s">
        <v>523</v>
      </c>
      <c r="H579" s="490">
        <f t="shared" si="41"/>
        <v>52685.08</v>
      </c>
      <c r="I579" s="484">
        <v>0</v>
      </c>
      <c r="J579" s="485">
        <v>52685.08</v>
      </c>
      <c r="K579" s="112"/>
      <c r="L579" s="112"/>
      <c r="M579" s="112"/>
      <c r="N579" s="112"/>
    </row>
    <row r="580" spans="1:14" s="8" customFormat="1" ht="16.5" customHeight="1">
      <c r="A580" s="141" t="s">
        <v>298</v>
      </c>
      <c r="B580" s="114"/>
      <c r="C580" s="114">
        <v>211</v>
      </c>
      <c r="D580" s="115" t="s">
        <v>521</v>
      </c>
      <c r="E580" s="114">
        <v>111</v>
      </c>
      <c r="F580" s="114">
        <v>211</v>
      </c>
      <c r="G580" s="101" t="s">
        <v>530</v>
      </c>
      <c r="H580" s="117">
        <f>SUM(I580:M580)</f>
        <v>3356945.7699999996</v>
      </c>
      <c r="I580" s="124"/>
      <c r="J580" s="124"/>
      <c r="K580" s="112"/>
      <c r="L580" s="112"/>
      <c r="M580" s="112">
        <f>2128645.86+1228299.91</f>
        <v>3356945.7699999996</v>
      </c>
      <c r="N580" s="112"/>
    </row>
    <row r="581" spans="1:14" s="8" customFormat="1" ht="16.5" customHeight="1" hidden="1">
      <c r="A581" s="141" t="s">
        <v>298</v>
      </c>
      <c r="B581" s="486"/>
      <c r="C581" s="488">
        <v>211</v>
      </c>
      <c r="D581" s="487" t="s">
        <v>521</v>
      </c>
      <c r="E581" s="488">
        <v>111</v>
      </c>
      <c r="F581" s="488">
        <v>211</v>
      </c>
      <c r="G581" s="493" t="s">
        <v>530</v>
      </c>
      <c r="H581" s="490">
        <f aca="true" t="shared" si="42" ref="H581:H590">I581+J581+K581+L581+M581+N581</f>
        <v>0</v>
      </c>
      <c r="I581" s="484">
        <v>0</v>
      </c>
      <c r="J581" s="484">
        <v>0</v>
      </c>
      <c r="K581" s="112">
        <v>0</v>
      </c>
      <c r="L581" s="112">
        <v>0</v>
      </c>
      <c r="M581" s="496"/>
      <c r="N581" s="112"/>
    </row>
    <row r="582" spans="1:14" s="8" customFormat="1" ht="16.5" customHeight="1">
      <c r="A582" s="141" t="s">
        <v>299</v>
      </c>
      <c r="B582" s="114"/>
      <c r="C582" s="114">
        <v>211</v>
      </c>
      <c r="D582" s="114"/>
      <c r="E582" s="114">
        <v>111</v>
      </c>
      <c r="F582" s="114">
        <v>211</v>
      </c>
      <c r="G582" s="121"/>
      <c r="H582" s="117">
        <f t="shared" si="42"/>
        <v>0</v>
      </c>
      <c r="I582" s="124"/>
      <c r="J582" s="124"/>
      <c r="K582" s="112"/>
      <c r="L582" s="112"/>
      <c r="M582" s="112"/>
      <c r="N582" s="112"/>
    </row>
    <row r="583" spans="1:14" s="8" customFormat="1" ht="16.5" customHeight="1">
      <c r="A583" s="141" t="s">
        <v>300</v>
      </c>
      <c r="B583" s="486"/>
      <c r="C583" s="488">
        <v>266</v>
      </c>
      <c r="D583" s="488">
        <v>800000000</v>
      </c>
      <c r="E583" s="488">
        <v>112</v>
      </c>
      <c r="F583" s="488">
        <v>266</v>
      </c>
      <c r="G583" s="489" t="s">
        <v>826</v>
      </c>
      <c r="H583" s="490">
        <f t="shared" si="42"/>
        <v>1380</v>
      </c>
      <c r="I583" s="485">
        <f>690*2</f>
        <v>1380</v>
      </c>
      <c r="J583" s="124"/>
      <c r="K583" s="112"/>
      <c r="L583" s="112"/>
      <c r="M583" s="112"/>
      <c r="N583" s="112"/>
    </row>
    <row r="584" spans="1:14" s="8" customFormat="1" ht="54" customHeight="1">
      <c r="A584" s="141" t="s">
        <v>843</v>
      </c>
      <c r="B584" s="486"/>
      <c r="C584" s="488">
        <v>266</v>
      </c>
      <c r="D584" s="488">
        <v>901480000</v>
      </c>
      <c r="E584" s="488">
        <v>112</v>
      </c>
      <c r="F584" s="488">
        <v>266</v>
      </c>
      <c r="G584" s="499" t="s">
        <v>523</v>
      </c>
      <c r="H584" s="490">
        <f t="shared" si="42"/>
        <v>100000</v>
      </c>
      <c r="I584" s="484">
        <v>0</v>
      </c>
      <c r="J584" s="485">
        <v>100000</v>
      </c>
      <c r="K584" s="112"/>
      <c r="L584" s="112"/>
      <c r="M584" s="112"/>
      <c r="N584" s="112"/>
    </row>
    <row r="585" spans="1:14" s="8" customFormat="1" ht="15.75" customHeight="1">
      <c r="A585" s="141" t="s">
        <v>301</v>
      </c>
      <c r="B585" s="114"/>
      <c r="C585" s="114">
        <v>213</v>
      </c>
      <c r="D585" s="114">
        <v>800000000</v>
      </c>
      <c r="E585" s="114">
        <v>119</v>
      </c>
      <c r="F585" s="114">
        <v>213</v>
      </c>
      <c r="G585" s="101" t="s">
        <v>523</v>
      </c>
      <c r="H585" s="117">
        <f t="shared" si="42"/>
        <v>5934918.67</v>
      </c>
      <c r="I585" s="124">
        <f>5413006.97+521911.7</f>
        <v>5934918.67</v>
      </c>
      <c r="J585" s="124"/>
      <c r="K585" s="112"/>
      <c r="L585" s="112"/>
      <c r="M585" s="112"/>
      <c r="N585" s="112"/>
    </row>
    <row r="586" spans="1:14" s="8" customFormat="1" ht="15.75" customHeight="1">
      <c r="A586" s="141" t="s">
        <v>301</v>
      </c>
      <c r="B586" s="486"/>
      <c r="C586" s="488">
        <v>213</v>
      </c>
      <c r="D586" s="488">
        <v>800000000</v>
      </c>
      <c r="E586" s="488">
        <v>119</v>
      </c>
      <c r="F586" s="488">
        <v>213</v>
      </c>
      <c r="G586" s="489" t="s">
        <v>523</v>
      </c>
      <c r="H586" s="490">
        <f t="shared" si="42"/>
        <v>2485956.18</v>
      </c>
      <c r="I586" s="485">
        <v>2485956.18</v>
      </c>
      <c r="J586" s="124"/>
      <c r="K586" s="112"/>
      <c r="L586" s="112"/>
      <c r="M586" s="112"/>
      <c r="N586" s="112"/>
    </row>
    <row r="587" spans="1:14" s="8" customFormat="1" ht="15.75" customHeight="1">
      <c r="A587" s="141" t="s">
        <v>301</v>
      </c>
      <c r="B587" s="486"/>
      <c r="C587" s="486">
        <v>213</v>
      </c>
      <c r="D587" s="488">
        <v>800000000</v>
      </c>
      <c r="E587" s="486">
        <v>119</v>
      </c>
      <c r="F587" s="486">
        <v>213</v>
      </c>
      <c r="G587" s="489" t="s">
        <v>523</v>
      </c>
      <c r="H587" s="490">
        <f t="shared" si="42"/>
        <v>0</v>
      </c>
      <c r="I587" s="485"/>
      <c r="J587" s="124"/>
      <c r="K587" s="112"/>
      <c r="L587" s="112"/>
      <c r="M587" s="112"/>
      <c r="N587" s="112"/>
    </row>
    <row r="588" spans="1:14" s="8" customFormat="1" ht="15.75" customHeight="1">
      <c r="A588" s="141" t="s">
        <v>301</v>
      </c>
      <c r="B588" s="486"/>
      <c r="C588" s="488">
        <v>213</v>
      </c>
      <c r="D588" s="488">
        <v>901480000</v>
      </c>
      <c r="E588" s="488">
        <v>119</v>
      </c>
      <c r="F588" s="488">
        <v>213</v>
      </c>
      <c r="G588" s="499" t="s">
        <v>523</v>
      </c>
      <c r="H588" s="490">
        <f t="shared" si="42"/>
        <v>84518.32</v>
      </c>
      <c r="I588" s="484">
        <v>0</v>
      </c>
      <c r="J588" s="485">
        <v>84518.32</v>
      </c>
      <c r="K588" s="112"/>
      <c r="L588" s="112"/>
      <c r="M588" s="112"/>
      <c r="N588" s="112"/>
    </row>
    <row r="589" spans="1:14" s="8" customFormat="1" ht="15.75" customHeight="1">
      <c r="A589" s="141" t="s">
        <v>301</v>
      </c>
      <c r="B589" s="486"/>
      <c r="C589" s="488">
        <v>213</v>
      </c>
      <c r="D589" s="488">
        <v>901160000</v>
      </c>
      <c r="E589" s="488">
        <v>119</v>
      </c>
      <c r="F589" s="488">
        <v>213</v>
      </c>
      <c r="G589" s="499" t="s">
        <v>523</v>
      </c>
      <c r="H589" s="490">
        <f t="shared" si="42"/>
        <v>30056.89</v>
      </c>
      <c r="I589" s="484">
        <v>0</v>
      </c>
      <c r="J589" s="485">
        <v>30056.89</v>
      </c>
      <c r="K589" s="112"/>
      <c r="L589" s="112"/>
      <c r="M589" s="112"/>
      <c r="N589" s="112"/>
    </row>
    <row r="590" spans="1:14" s="8" customFormat="1" ht="15.75" customHeight="1">
      <c r="A590" s="141" t="s">
        <v>301</v>
      </c>
      <c r="B590" s="486"/>
      <c r="C590" s="488">
        <v>213</v>
      </c>
      <c r="D590" s="488">
        <v>901830000</v>
      </c>
      <c r="E590" s="488">
        <v>119</v>
      </c>
      <c r="F590" s="488">
        <v>213</v>
      </c>
      <c r="G590" s="499" t="s">
        <v>523</v>
      </c>
      <c r="H590" s="490">
        <f t="shared" si="42"/>
        <v>15910.89</v>
      </c>
      <c r="I590" s="484">
        <v>0</v>
      </c>
      <c r="J590" s="485">
        <v>15910.89</v>
      </c>
      <c r="K590" s="112"/>
      <c r="L590" s="112"/>
      <c r="M590" s="112"/>
      <c r="N590" s="112"/>
    </row>
    <row r="591" spans="1:14" s="8" customFormat="1" ht="15.75" customHeight="1">
      <c r="A591" s="141" t="s">
        <v>301</v>
      </c>
      <c r="B591" s="114"/>
      <c r="C591" s="114">
        <v>213</v>
      </c>
      <c r="D591" s="115" t="s">
        <v>521</v>
      </c>
      <c r="E591" s="114">
        <v>119</v>
      </c>
      <c r="F591" s="114">
        <v>213</v>
      </c>
      <c r="G591" s="101" t="s">
        <v>530</v>
      </c>
      <c r="H591" s="117">
        <f>SUM(I591:M591)</f>
        <v>1013794.0900000001</v>
      </c>
      <c r="I591" s="124"/>
      <c r="J591" s="124"/>
      <c r="K591" s="112"/>
      <c r="L591" s="112"/>
      <c r="M591" s="112">
        <f>642847.4+370946.69</f>
        <v>1013794.0900000001</v>
      </c>
      <c r="N591" s="112"/>
    </row>
    <row r="592" spans="1:14" s="8" customFormat="1" ht="15.75" customHeight="1" hidden="1">
      <c r="A592" s="141" t="s">
        <v>301</v>
      </c>
      <c r="B592" s="486"/>
      <c r="C592" s="486">
        <v>213</v>
      </c>
      <c r="D592" s="487" t="s">
        <v>521</v>
      </c>
      <c r="E592" s="486">
        <v>119</v>
      </c>
      <c r="F592" s="486">
        <v>213</v>
      </c>
      <c r="G592" s="493" t="s">
        <v>530</v>
      </c>
      <c r="H592" s="490">
        <f>I592+J592+K592+L592+M592+N592</f>
        <v>0</v>
      </c>
      <c r="I592" s="484">
        <v>0</v>
      </c>
      <c r="J592" s="484">
        <v>0</v>
      </c>
      <c r="K592" s="112">
        <v>0</v>
      </c>
      <c r="L592" s="112">
        <v>0</v>
      </c>
      <c r="M592" s="496"/>
      <c r="N592" s="112"/>
    </row>
    <row r="593" spans="1:14" s="8" customFormat="1" ht="18.75" customHeight="1">
      <c r="A593" s="141" t="s">
        <v>399</v>
      </c>
      <c r="B593" s="114">
        <v>220</v>
      </c>
      <c r="C593" s="114"/>
      <c r="D593" s="114"/>
      <c r="E593" s="114"/>
      <c r="F593" s="114"/>
      <c r="G593" s="114"/>
      <c r="H593" s="119">
        <f>SUM(I593:M593)</f>
        <v>243906</v>
      </c>
      <c r="I593" s="112">
        <f>I595+I600+I601+I602+I603</f>
        <v>0</v>
      </c>
      <c r="J593" s="112">
        <f>J596+J600</f>
        <v>243906</v>
      </c>
      <c r="K593" s="112">
        <f>K595+K600+K601+K602+K603</f>
        <v>0</v>
      </c>
      <c r="L593" s="112">
        <f>L595+L600+L601+L602+L603</f>
        <v>0</v>
      </c>
      <c r="M593" s="112">
        <f>M595+M600+M601+M602+M603</f>
        <v>0</v>
      </c>
      <c r="N593" s="112">
        <f>N595+N600+N601+N602+N603</f>
        <v>0</v>
      </c>
    </row>
    <row r="594" spans="1:14" s="8" customFormat="1" ht="15.75" customHeight="1">
      <c r="A594" s="141" t="s">
        <v>3</v>
      </c>
      <c r="B594" s="114"/>
      <c r="C594" s="114"/>
      <c r="D594" s="114"/>
      <c r="E594" s="114"/>
      <c r="F594" s="114"/>
      <c r="G594" s="121"/>
      <c r="H594" s="117"/>
      <c r="I594" s="124"/>
      <c r="J594" s="124"/>
      <c r="K594" s="112"/>
      <c r="L594" s="112"/>
      <c r="M594" s="112"/>
      <c r="N594" s="112"/>
    </row>
    <row r="595" spans="1:14" s="8" customFormat="1" ht="39" customHeight="1">
      <c r="A595" s="142" t="s">
        <v>302</v>
      </c>
      <c r="B595" s="143"/>
      <c r="C595" s="144">
        <v>263</v>
      </c>
      <c r="D595" s="114">
        <v>901140000</v>
      </c>
      <c r="E595" s="114">
        <v>323</v>
      </c>
      <c r="F595" s="144">
        <v>263</v>
      </c>
      <c r="G595" s="145" t="s">
        <v>523</v>
      </c>
      <c r="H595" s="117">
        <f aca="true" t="shared" si="43" ref="H595:H603">I595+J595+K595+L595+M595+N595</f>
        <v>0</v>
      </c>
      <c r="I595" s="124"/>
      <c r="J595" s="124">
        <v>0</v>
      </c>
      <c r="K595" s="112"/>
      <c r="L595" s="112"/>
      <c r="M595" s="112"/>
      <c r="N595" s="112"/>
    </row>
    <row r="596" spans="1:14" s="8" customFormat="1" ht="39" customHeight="1">
      <c r="A596" s="135" t="s">
        <v>39</v>
      </c>
      <c r="B596" s="486"/>
      <c r="C596" s="488">
        <v>263</v>
      </c>
      <c r="D596" s="488"/>
      <c r="E596" s="488">
        <v>323</v>
      </c>
      <c r="F596" s="488">
        <v>263</v>
      </c>
      <c r="G596" s="518"/>
      <c r="H596" s="490">
        <f t="shared" si="43"/>
        <v>230044</v>
      </c>
      <c r="I596" s="484">
        <v>0</v>
      </c>
      <c r="J596" s="485">
        <f>SUM(J597:J599)</f>
        <v>230044</v>
      </c>
      <c r="K596" s="112"/>
      <c r="L596" s="112"/>
      <c r="M596" s="112"/>
      <c r="N596" s="112"/>
    </row>
    <row r="597" spans="1:14" s="8" customFormat="1" ht="39" customHeight="1">
      <c r="A597" s="113" t="s">
        <v>834</v>
      </c>
      <c r="B597" s="486"/>
      <c r="C597" s="488">
        <v>263</v>
      </c>
      <c r="D597" s="488">
        <v>901140000</v>
      </c>
      <c r="E597" s="488">
        <v>323</v>
      </c>
      <c r="F597" s="488">
        <v>263</v>
      </c>
      <c r="G597" s="499" t="s">
        <v>523</v>
      </c>
      <c r="H597" s="490">
        <f t="shared" si="43"/>
        <v>56596</v>
      </c>
      <c r="I597" s="484">
        <v>0</v>
      </c>
      <c r="J597" s="485">
        <v>56596</v>
      </c>
      <c r="K597" s="112"/>
      <c r="L597" s="112"/>
      <c r="M597" s="112"/>
      <c r="N597" s="112"/>
    </row>
    <row r="598" spans="1:14" s="8" customFormat="1" ht="39" customHeight="1">
      <c r="A598" s="113" t="s">
        <v>836</v>
      </c>
      <c r="B598" s="486"/>
      <c r="C598" s="488">
        <v>263</v>
      </c>
      <c r="D598" s="488">
        <v>901150000</v>
      </c>
      <c r="E598" s="488">
        <v>323</v>
      </c>
      <c r="F598" s="488">
        <v>263</v>
      </c>
      <c r="G598" s="499" t="s">
        <v>523</v>
      </c>
      <c r="H598" s="490">
        <f t="shared" si="43"/>
        <v>67915</v>
      </c>
      <c r="I598" s="484">
        <v>0</v>
      </c>
      <c r="J598" s="485">
        <v>67915</v>
      </c>
      <c r="K598" s="112"/>
      <c r="L598" s="112"/>
      <c r="M598" s="112"/>
      <c r="N598" s="112"/>
    </row>
    <row r="599" spans="1:14" s="8" customFormat="1" ht="39" customHeight="1">
      <c r="A599" s="113" t="s">
        <v>241</v>
      </c>
      <c r="B599" s="486"/>
      <c r="C599" s="488">
        <v>263</v>
      </c>
      <c r="D599" s="501">
        <v>901210000</v>
      </c>
      <c r="E599" s="488">
        <v>323</v>
      </c>
      <c r="F599" s="488">
        <v>263</v>
      </c>
      <c r="G599" s="491" t="s">
        <v>518</v>
      </c>
      <c r="H599" s="490">
        <f t="shared" si="43"/>
        <v>105533</v>
      </c>
      <c r="I599" s="484">
        <v>0</v>
      </c>
      <c r="J599" s="485">
        <v>105533</v>
      </c>
      <c r="K599" s="112"/>
      <c r="L599" s="112"/>
      <c r="M599" s="112"/>
      <c r="N599" s="112"/>
    </row>
    <row r="600" spans="1:14" s="8" customFormat="1" ht="33.75" customHeight="1">
      <c r="A600" s="135" t="s">
        <v>39</v>
      </c>
      <c r="B600" s="114"/>
      <c r="C600" s="114">
        <v>262</v>
      </c>
      <c r="D600" s="114">
        <v>901140000</v>
      </c>
      <c r="E600" s="114">
        <v>321</v>
      </c>
      <c r="F600" s="114">
        <v>262</v>
      </c>
      <c r="G600" s="145" t="s">
        <v>523</v>
      </c>
      <c r="H600" s="117">
        <f t="shared" si="43"/>
        <v>13862</v>
      </c>
      <c r="I600" s="124"/>
      <c r="J600" s="159">
        <v>13862</v>
      </c>
      <c r="K600" s="112"/>
      <c r="L600" s="112"/>
      <c r="M600" s="112"/>
      <c r="N600" s="112"/>
    </row>
    <row r="601" spans="1:14" s="8" customFormat="1" ht="15.75" customHeight="1">
      <c r="A601" s="135" t="s">
        <v>303</v>
      </c>
      <c r="B601" s="114"/>
      <c r="C601" s="114"/>
      <c r="D601" s="114"/>
      <c r="E601" s="114"/>
      <c r="F601" s="114"/>
      <c r="G601" s="121"/>
      <c r="H601" s="117">
        <f t="shared" si="43"/>
        <v>0</v>
      </c>
      <c r="I601" s="124"/>
      <c r="J601" s="124"/>
      <c r="K601" s="112"/>
      <c r="L601" s="112"/>
      <c r="M601" s="112"/>
      <c r="N601" s="112"/>
    </row>
    <row r="602" spans="1:14" s="8" customFormat="1" ht="15.75" customHeight="1">
      <c r="A602" s="135" t="s">
        <v>304</v>
      </c>
      <c r="B602" s="114"/>
      <c r="C602" s="114">
        <v>290</v>
      </c>
      <c r="D602" s="114"/>
      <c r="E602" s="114">
        <v>350</v>
      </c>
      <c r="F602" s="114">
        <v>290</v>
      </c>
      <c r="G602" s="121"/>
      <c r="H602" s="117">
        <f t="shared" si="43"/>
        <v>0</v>
      </c>
      <c r="I602" s="124"/>
      <c r="J602" s="124"/>
      <c r="K602" s="112"/>
      <c r="L602" s="112"/>
      <c r="M602" s="112"/>
      <c r="N602" s="112"/>
    </row>
    <row r="603" spans="1:14" s="8" customFormat="1" ht="15.75" customHeight="1">
      <c r="A603" s="135" t="s">
        <v>305</v>
      </c>
      <c r="B603" s="114"/>
      <c r="C603" s="114"/>
      <c r="D603" s="114"/>
      <c r="E603" s="114"/>
      <c r="F603" s="114"/>
      <c r="G603" s="121"/>
      <c r="H603" s="117">
        <f t="shared" si="43"/>
        <v>0</v>
      </c>
      <c r="I603" s="124"/>
      <c r="J603" s="124"/>
      <c r="K603" s="112"/>
      <c r="L603" s="112"/>
      <c r="M603" s="112"/>
      <c r="N603" s="112"/>
    </row>
    <row r="604" spans="1:14" s="8" customFormat="1" ht="24.75" customHeight="1">
      <c r="A604" s="135" t="s">
        <v>306</v>
      </c>
      <c r="B604" s="114">
        <v>230</v>
      </c>
      <c r="C604" s="114"/>
      <c r="D604" s="114"/>
      <c r="E604" s="114"/>
      <c r="F604" s="114"/>
      <c r="G604" s="121"/>
      <c r="H604" s="117">
        <f aca="true" t="shared" si="44" ref="H604:N604">H605+H608</f>
        <v>4441633</v>
      </c>
      <c r="I604" s="124">
        <f t="shared" si="44"/>
        <v>4041887</v>
      </c>
      <c r="J604" s="124">
        <f t="shared" si="44"/>
        <v>0</v>
      </c>
      <c r="K604" s="124">
        <f t="shared" si="44"/>
        <v>0</v>
      </c>
      <c r="L604" s="124">
        <f t="shared" si="44"/>
        <v>0</v>
      </c>
      <c r="M604" s="124">
        <f t="shared" si="44"/>
        <v>399746</v>
      </c>
      <c r="N604" s="124">
        <f t="shared" si="44"/>
        <v>0</v>
      </c>
    </row>
    <row r="605" spans="1:14" s="8" customFormat="1" ht="15.75" customHeight="1">
      <c r="A605" s="141" t="s">
        <v>3</v>
      </c>
      <c r="B605" s="114"/>
      <c r="C605" s="114"/>
      <c r="D605" s="114"/>
      <c r="E605" s="114"/>
      <c r="F605" s="114"/>
      <c r="G605" s="121"/>
      <c r="H605" s="117">
        <f aca="true" t="shared" si="45" ref="H605:N605">H606+H607</f>
        <v>4441633</v>
      </c>
      <c r="I605" s="124">
        <f t="shared" si="45"/>
        <v>4041887</v>
      </c>
      <c r="J605" s="124">
        <f t="shared" si="45"/>
        <v>0</v>
      </c>
      <c r="K605" s="124">
        <f t="shared" si="45"/>
        <v>0</v>
      </c>
      <c r="L605" s="124">
        <f t="shared" si="45"/>
        <v>0</v>
      </c>
      <c r="M605" s="124">
        <f t="shared" si="45"/>
        <v>399746</v>
      </c>
      <c r="N605" s="124">
        <f t="shared" si="45"/>
        <v>0</v>
      </c>
    </row>
    <row r="606" spans="1:14" s="8" customFormat="1" ht="15.75" customHeight="1">
      <c r="A606" s="141" t="s">
        <v>307</v>
      </c>
      <c r="B606" s="114"/>
      <c r="C606" s="114">
        <v>290</v>
      </c>
      <c r="D606" s="114"/>
      <c r="E606" s="114">
        <v>831</v>
      </c>
      <c r="F606" s="114">
        <v>290</v>
      </c>
      <c r="G606" s="121"/>
      <c r="H606" s="117">
        <f>I606+J606+K606+L606+M606+N606</f>
        <v>0</v>
      </c>
      <c r="I606" s="124"/>
      <c r="J606" s="124"/>
      <c r="K606" s="112"/>
      <c r="L606" s="112"/>
      <c r="M606" s="112"/>
      <c r="N606" s="112"/>
    </row>
    <row r="607" spans="1:14" s="8" customFormat="1" ht="15.75" customHeight="1">
      <c r="A607" s="141" t="s">
        <v>308</v>
      </c>
      <c r="B607" s="114"/>
      <c r="C607" s="114">
        <v>290</v>
      </c>
      <c r="D607" s="114"/>
      <c r="E607" s="114">
        <v>850</v>
      </c>
      <c r="F607" s="114">
        <v>290</v>
      </c>
      <c r="G607" s="121"/>
      <c r="H607" s="117">
        <f>I607+J607+K607+L607+M607+N607</f>
        <v>4441633</v>
      </c>
      <c r="I607" s="124">
        <f aca="true" t="shared" si="46" ref="I607:N607">SUM(I609:I619)</f>
        <v>4041887</v>
      </c>
      <c r="J607" s="124">
        <f t="shared" si="46"/>
        <v>0</v>
      </c>
      <c r="K607" s="124">
        <f t="shared" si="46"/>
        <v>0</v>
      </c>
      <c r="L607" s="124">
        <f t="shared" si="46"/>
        <v>0</v>
      </c>
      <c r="M607" s="124">
        <f t="shared" si="46"/>
        <v>399746</v>
      </c>
      <c r="N607" s="124">
        <f t="shared" si="46"/>
        <v>0</v>
      </c>
    </row>
    <row r="608" spans="1:14" s="8" customFormat="1" ht="15.75" customHeight="1">
      <c r="A608" s="141" t="s">
        <v>4</v>
      </c>
      <c r="B608" s="114"/>
      <c r="C608" s="114"/>
      <c r="D608" s="114"/>
      <c r="E608" s="114"/>
      <c r="F608" s="114"/>
      <c r="G608" s="121"/>
      <c r="H608" s="117"/>
      <c r="I608" s="124"/>
      <c r="J608" s="124"/>
      <c r="K608" s="124"/>
      <c r="L608" s="124"/>
      <c r="M608" s="124"/>
      <c r="N608" s="124"/>
    </row>
    <row r="609" spans="1:14" s="8" customFormat="1" ht="26.25" customHeight="1">
      <c r="A609" s="141" t="s">
        <v>309</v>
      </c>
      <c r="B609" s="114"/>
      <c r="C609" s="114">
        <v>291</v>
      </c>
      <c r="D609" s="114">
        <v>800000000</v>
      </c>
      <c r="E609" s="114">
        <v>851</v>
      </c>
      <c r="F609" s="114">
        <v>291</v>
      </c>
      <c r="G609" s="101" t="s">
        <v>516</v>
      </c>
      <c r="H609" s="117">
        <f>I609+J609+K609+L609+M609+N609</f>
        <v>4041887</v>
      </c>
      <c r="I609" s="124">
        <f>2959713+1082174</f>
        <v>4041887</v>
      </c>
      <c r="J609" s="124"/>
      <c r="K609" s="112"/>
      <c r="L609" s="112"/>
      <c r="M609" s="112">
        <v>0</v>
      </c>
      <c r="N609" s="112"/>
    </row>
    <row r="610" spans="1:14" s="8" customFormat="1" ht="26.25" customHeight="1" hidden="1">
      <c r="A610" s="141" t="s">
        <v>309</v>
      </c>
      <c r="B610" s="486"/>
      <c r="C610" s="488">
        <v>291</v>
      </c>
      <c r="D610" s="488">
        <v>800000000</v>
      </c>
      <c r="E610" s="488">
        <v>851</v>
      </c>
      <c r="F610" s="488">
        <v>291</v>
      </c>
      <c r="G610" s="491" t="s">
        <v>516</v>
      </c>
      <c r="H610" s="490">
        <f>SUM(I610:N610)</f>
        <v>0</v>
      </c>
      <c r="I610" s="485"/>
      <c r="J610" s="124"/>
      <c r="K610" s="112"/>
      <c r="L610" s="112"/>
      <c r="M610" s="112"/>
      <c r="N610" s="112"/>
    </row>
    <row r="611" spans="1:14" s="8" customFormat="1" ht="26.25" customHeight="1">
      <c r="A611" s="141" t="s">
        <v>309</v>
      </c>
      <c r="B611" s="114"/>
      <c r="C611" s="114">
        <v>291</v>
      </c>
      <c r="D611" s="115" t="s">
        <v>521</v>
      </c>
      <c r="E611" s="114">
        <v>851</v>
      </c>
      <c r="F611" s="114">
        <v>291</v>
      </c>
      <c r="G611" s="101" t="s">
        <v>530</v>
      </c>
      <c r="H611" s="117">
        <f>I611+J611+K611+L611+M611+N611</f>
        <v>399746</v>
      </c>
      <c r="I611" s="124">
        <v>0</v>
      </c>
      <c r="J611" s="124"/>
      <c r="K611" s="112"/>
      <c r="L611" s="112"/>
      <c r="M611" s="112">
        <f>292718+107028</f>
        <v>399746</v>
      </c>
      <c r="N611" s="112"/>
    </row>
    <row r="612" spans="1:14" s="8" customFormat="1" ht="26.25" customHeight="1">
      <c r="A612" s="141" t="s">
        <v>309</v>
      </c>
      <c r="B612" s="486"/>
      <c r="C612" s="488">
        <v>291</v>
      </c>
      <c r="D612" s="487" t="s">
        <v>521</v>
      </c>
      <c r="E612" s="488">
        <v>851</v>
      </c>
      <c r="F612" s="488">
        <v>291</v>
      </c>
      <c r="G612" s="491" t="s">
        <v>530</v>
      </c>
      <c r="H612" s="490">
        <f>I612+J612+K612+L612+M612+N612</f>
        <v>0</v>
      </c>
      <c r="I612" s="484">
        <v>0</v>
      </c>
      <c r="J612" s="484">
        <v>0</v>
      </c>
      <c r="K612" s="112">
        <v>0</v>
      </c>
      <c r="L612" s="112">
        <v>0</v>
      </c>
      <c r="M612" s="496"/>
      <c r="N612" s="112"/>
    </row>
    <row r="613" spans="1:15" s="8" customFormat="1" ht="15" customHeight="1">
      <c r="A613" s="141" t="s">
        <v>357</v>
      </c>
      <c r="B613" s="114"/>
      <c r="C613" s="114">
        <v>291</v>
      </c>
      <c r="D613" s="114"/>
      <c r="E613" s="114">
        <v>852</v>
      </c>
      <c r="F613" s="114">
        <v>291</v>
      </c>
      <c r="G613" s="121"/>
      <c r="H613" s="117">
        <f aca="true" t="shared" si="47" ref="H613:H620">I613+J613+K613+L613+M613+N613</f>
        <v>0</v>
      </c>
      <c r="I613" s="124"/>
      <c r="J613" s="124"/>
      <c r="K613" s="112"/>
      <c r="L613" s="112"/>
      <c r="M613" s="112"/>
      <c r="N613" s="112"/>
      <c r="O613" s="8" t="s">
        <v>378</v>
      </c>
    </row>
    <row r="614" spans="1:15" s="8" customFormat="1" ht="15" customHeight="1">
      <c r="A614" s="141" t="s">
        <v>310</v>
      </c>
      <c r="B614" s="114"/>
      <c r="C614" s="114">
        <v>291</v>
      </c>
      <c r="D614" s="114"/>
      <c r="E614" s="114">
        <v>853</v>
      </c>
      <c r="F614" s="114">
        <v>291</v>
      </c>
      <c r="G614" s="121"/>
      <c r="H614" s="117">
        <f t="shared" si="47"/>
        <v>0</v>
      </c>
      <c r="I614" s="124"/>
      <c r="J614" s="124"/>
      <c r="K614" s="112"/>
      <c r="L614" s="112"/>
      <c r="M614" s="112"/>
      <c r="N614" s="112"/>
      <c r="O614" s="8" t="s">
        <v>379</v>
      </c>
    </row>
    <row r="615" spans="1:14" s="8" customFormat="1" ht="34.5" customHeight="1">
      <c r="A615" s="141" t="s">
        <v>358</v>
      </c>
      <c r="B615" s="114"/>
      <c r="C615" s="114">
        <v>292</v>
      </c>
      <c r="D615" s="114"/>
      <c r="E615" s="114">
        <v>853</v>
      </c>
      <c r="F615" s="114">
        <v>292</v>
      </c>
      <c r="G615" s="121"/>
      <c r="H615" s="117">
        <f t="shared" si="47"/>
        <v>0</v>
      </c>
      <c r="I615" s="124"/>
      <c r="J615" s="124"/>
      <c r="K615" s="112"/>
      <c r="L615" s="112"/>
      <c r="M615" s="112"/>
      <c r="N615" s="112"/>
    </row>
    <row r="616" spans="1:14" s="8" customFormat="1" ht="26.25" customHeight="1">
      <c r="A616" s="141" t="s">
        <v>359</v>
      </c>
      <c r="B616" s="114"/>
      <c r="C616" s="114">
        <v>293</v>
      </c>
      <c r="D616" s="114"/>
      <c r="E616" s="114">
        <v>853</v>
      </c>
      <c r="F616" s="114">
        <v>293</v>
      </c>
      <c r="G616" s="121"/>
      <c r="H616" s="117">
        <f t="shared" si="47"/>
        <v>0</v>
      </c>
      <c r="I616" s="124"/>
      <c r="J616" s="124"/>
      <c r="K616" s="112"/>
      <c r="L616" s="112"/>
      <c r="M616" s="112"/>
      <c r="N616" s="112"/>
    </row>
    <row r="617" spans="1:14" s="8" customFormat="1" ht="26.25" customHeight="1">
      <c r="A617" s="141" t="s">
        <v>360</v>
      </c>
      <c r="B617" s="114"/>
      <c r="C617" s="114">
        <v>294</v>
      </c>
      <c r="D617" s="114"/>
      <c r="E617" s="114">
        <v>853</v>
      </c>
      <c r="F617" s="114">
        <v>294</v>
      </c>
      <c r="G617" s="121"/>
      <c r="H617" s="117">
        <f t="shared" si="47"/>
        <v>0</v>
      </c>
      <c r="I617" s="124"/>
      <c r="J617" s="124"/>
      <c r="K617" s="112"/>
      <c r="L617" s="112"/>
      <c r="M617" s="112"/>
      <c r="N617" s="112"/>
    </row>
    <row r="618" spans="1:14" s="8" customFormat="1" ht="18" customHeight="1">
      <c r="A618" s="141" t="s">
        <v>361</v>
      </c>
      <c r="B618" s="114"/>
      <c r="C618" s="114">
        <v>295</v>
      </c>
      <c r="D618" s="114"/>
      <c r="E618" s="114">
        <v>853</v>
      </c>
      <c r="F618" s="114">
        <v>295</v>
      </c>
      <c r="G618" s="121"/>
      <c r="H618" s="117">
        <f t="shared" si="47"/>
        <v>0</v>
      </c>
      <c r="I618" s="124"/>
      <c r="J618" s="124"/>
      <c r="K618" s="112"/>
      <c r="L618" s="112"/>
      <c r="M618" s="112"/>
      <c r="N618" s="112"/>
    </row>
    <row r="619" spans="1:14" s="8" customFormat="1" ht="18" customHeight="1">
      <c r="A619" s="141" t="s">
        <v>362</v>
      </c>
      <c r="B619" s="114"/>
      <c r="C619" s="114">
        <v>296</v>
      </c>
      <c r="D619" s="114"/>
      <c r="E619" s="114">
        <v>853</v>
      </c>
      <c r="F619" s="114">
        <v>296</v>
      </c>
      <c r="G619" s="121"/>
      <c r="H619" s="117">
        <f t="shared" si="47"/>
        <v>0</v>
      </c>
      <c r="I619" s="124"/>
      <c r="J619" s="124"/>
      <c r="K619" s="112"/>
      <c r="L619" s="112"/>
      <c r="M619" s="112"/>
      <c r="N619" s="112"/>
    </row>
    <row r="620" spans="1:14" s="8" customFormat="1" ht="18" customHeight="1">
      <c r="A620" s="141" t="s">
        <v>311</v>
      </c>
      <c r="B620" s="114">
        <v>240</v>
      </c>
      <c r="C620" s="114"/>
      <c r="D620" s="114"/>
      <c r="E620" s="114"/>
      <c r="F620" s="114"/>
      <c r="G620" s="121"/>
      <c r="H620" s="117">
        <f t="shared" si="47"/>
        <v>0</v>
      </c>
      <c r="I620" s="124"/>
      <c r="J620" s="124"/>
      <c r="K620" s="112"/>
      <c r="L620" s="112"/>
      <c r="M620" s="112"/>
      <c r="N620" s="112"/>
    </row>
    <row r="621" spans="1:14" s="8" customFormat="1" ht="28.5" customHeight="1">
      <c r="A621" s="135" t="s">
        <v>312</v>
      </c>
      <c r="B621" s="114">
        <v>250</v>
      </c>
      <c r="C621" s="114"/>
      <c r="D621" s="114"/>
      <c r="E621" s="114"/>
      <c r="F621" s="114"/>
      <c r="G621" s="121"/>
      <c r="H621" s="117">
        <f>H623+H624</f>
        <v>0</v>
      </c>
      <c r="I621" s="124">
        <f aca="true" t="shared" si="48" ref="I621:N621">I623+I624</f>
        <v>0</v>
      </c>
      <c r="J621" s="124">
        <f t="shared" si="48"/>
        <v>0</v>
      </c>
      <c r="K621" s="124">
        <f t="shared" si="48"/>
        <v>0</v>
      </c>
      <c r="L621" s="124">
        <f t="shared" si="48"/>
        <v>0</v>
      </c>
      <c r="M621" s="124">
        <f t="shared" si="48"/>
        <v>0</v>
      </c>
      <c r="N621" s="124">
        <f t="shared" si="48"/>
        <v>0</v>
      </c>
    </row>
    <row r="622" spans="1:14" s="8" customFormat="1" ht="14.25" customHeight="1">
      <c r="A622" s="141" t="s">
        <v>4</v>
      </c>
      <c r="B622" s="114"/>
      <c r="C622" s="114"/>
      <c r="D622" s="114"/>
      <c r="E622" s="114"/>
      <c r="F622" s="114"/>
      <c r="G622" s="121"/>
      <c r="H622" s="117"/>
      <c r="I622" s="124"/>
      <c r="J622" s="124"/>
      <c r="K622" s="112"/>
      <c r="L622" s="112"/>
      <c r="M622" s="112"/>
      <c r="N622" s="112"/>
    </row>
    <row r="623" spans="1:14" s="8" customFormat="1" ht="29.25" customHeight="1">
      <c r="A623" s="135" t="s">
        <v>313</v>
      </c>
      <c r="B623" s="114"/>
      <c r="C623" s="114"/>
      <c r="D623" s="114"/>
      <c r="E623" s="114"/>
      <c r="F623" s="114"/>
      <c r="G623" s="121"/>
      <c r="H623" s="117">
        <f>I623+J623+K623+L623+M623+N623</f>
        <v>0</v>
      </c>
      <c r="I623" s="124"/>
      <c r="J623" s="124"/>
      <c r="K623" s="112"/>
      <c r="L623" s="112"/>
      <c r="M623" s="112"/>
      <c r="N623" s="112"/>
    </row>
    <row r="624" spans="1:14" s="8" customFormat="1" ht="34.5" customHeight="1">
      <c r="A624" s="141" t="s">
        <v>314</v>
      </c>
      <c r="B624" s="114"/>
      <c r="C624" s="114"/>
      <c r="D624" s="114"/>
      <c r="E624" s="114"/>
      <c r="F624" s="114"/>
      <c r="G624" s="121"/>
      <c r="H624" s="117">
        <f>I624+J624+K624+L624+M624+N624</f>
        <v>0</v>
      </c>
      <c r="I624" s="124"/>
      <c r="J624" s="124"/>
      <c r="K624" s="124"/>
      <c r="L624" s="124"/>
      <c r="M624" s="124"/>
      <c r="N624" s="112"/>
    </row>
    <row r="625" spans="1:14" s="8" customFormat="1" ht="27" customHeight="1">
      <c r="A625" s="141" t="s">
        <v>315</v>
      </c>
      <c r="B625" s="114">
        <v>260</v>
      </c>
      <c r="C625" s="114"/>
      <c r="D625" s="114"/>
      <c r="E625" s="114"/>
      <c r="F625" s="114"/>
      <c r="G625" s="121"/>
      <c r="H625" s="117">
        <f>I625+J625+M625</f>
        <v>17859467.48</v>
      </c>
      <c r="I625" s="124">
        <f>I627+I628+I633+I652+I653+I658+I659+I665+I677+I629+I630+I654+I655+I660+I661</f>
        <v>9084426.98</v>
      </c>
      <c r="J625" s="124">
        <f>J627+J632+J633+J651+J652+J658+J664+J665+J676+J677+J690</f>
        <v>0</v>
      </c>
      <c r="K625" s="124">
        <f>K627+K632+K633+K651+K652+K658+K664+K665+K676+K677+K690</f>
        <v>0</v>
      </c>
      <c r="L625" s="124">
        <f>L627+L632+L633+L651+L652+L658+L664+L665+L676+L677+L690</f>
        <v>0</v>
      </c>
      <c r="M625" s="124">
        <f>M631+M633+M656+M657+M662+M663+M665+M688+M689</f>
        <v>8775040.5</v>
      </c>
      <c r="N625" s="124">
        <f>N627+N632+N633+N651+N652+N658+N664+N665+N676+N677+N690</f>
        <v>0</v>
      </c>
    </row>
    <row r="626" spans="1:14" s="40" customFormat="1" ht="15.75" customHeight="1">
      <c r="A626" s="141" t="s">
        <v>4</v>
      </c>
      <c r="B626" s="147"/>
      <c r="C626" s="114"/>
      <c r="D626" s="147"/>
      <c r="E626" s="147"/>
      <c r="F626" s="114"/>
      <c r="G626" s="121"/>
      <c r="H626" s="117"/>
      <c r="I626" s="117"/>
      <c r="J626" s="117"/>
      <c r="K626" s="117"/>
      <c r="L626" s="117"/>
      <c r="M626" s="117"/>
      <c r="N626" s="117"/>
    </row>
    <row r="627" spans="1:14" s="8" customFormat="1" ht="16.5" customHeight="1">
      <c r="A627" s="141" t="s">
        <v>316</v>
      </c>
      <c r="B627" s="114"/>
      <c r="C627" s="114">
        <v>221</v>
      </c>
      <c r="D627" s="114">
        <v>800000000</v>
      </c>
      <c r="E627" s="114">
        <v>244</v>
      </c>
      <c r="F627" s="114">
        <v>221</v>
      </c>
      <c r="G627" s="101" t="s">
        <v>531</v>
      </c>
      <c r="H627" s="117">
        <f>I627+J627+M627</f>
        <v>87600</v>
      </c>
      <c r="I627" s="124">
        <f>72000+15600</f>
        <v>87600</v>
      </c>
      <c r="J627" s="124"/>
      <c r="K627" s="112"/>
      <c r="L627" s="112"/>
      <c r="M627" s="112"/>
      <c r="N627" s="112"/>
    </row>
    <row r="628" spans="1:14" s="8" customFormat="1" ht="16.5" customHeight="1">
      <c r="A628" s="141" t="s">
        <v>316</v>
      </c>
      <c r="B628" s="114"/>
      <c r="C628" s="114">
        <v>221</v>
      </c>
      <c r="D628" s="114">
        <v>800000000</v>
      </c>
      <c r="E628" s="114">
        <v>244</v>
      </c>
      <c r="F628" s="114">
        <v>221</v>
      </c>
      <c r="G628" s="101" t="s">
        <v>532</v>
      </c>
      <c r="H628" s="117">
        <f>I628+J628+M628</f>
        <v>32000.1</v>
      </c>
      <c r="I628" s="124">
        <v>32000.1</v>
      </c>
      <c r="J628" s="124"/>
      <c r="K628" s="112"/>
      <c r="L628" s="112"/>
      <c r="M628" s="112"/>
      <c r="N628" s="112"/>
    </row>
    <row r="629" spans="1:14" s="8" customFormat="1" ht="16.5" customHeight="1" hidden="1">
      <c r="A629" s="141" t="s">
        <v>316</v>
      </c>
      <c r="B629" s="486"/>
      <c r="C629" s="488">
        <v>221</v>
      </c>
      <c r="D629" s="488">
        <v>800000000</v>
      </c>
      <c r="E629" s="488">
        <v>244</v>
      </c>
      <c r="F629" s="488">
        <v>221</v>
      </c>
      <c r="G629" s="489" t="s">
        <v>531</v>
      </c>
      <c r="H629" s="490">
        <f>I629+J629+K629+L629+M629+N629</f>
        <v>0</v>
      </c>
      <c r="I629" s="485"/>
      <c r="J629" s="124"/>
      <c r="K629" s="112"/>
      <c r="L629" s="112"/>
      <c r="M629" s="112"/>
      <c r="N629" s="112"/>
    </row>
    <row r="630" spans="1:14" s="8" customFormat="1" ht="16.5" customHeight="1">
      <c r="A630" s="141" t="s">
        <v>827</v>
      </c>
      <c r="B630" s="486"/>
      <c r="C630" s="488">
        <v>221</v>
      </c>
      <c r="D630" s="488">
        <v>800000000</v>
      </c>
      <c r="E630" s="488">
        <v>244</v>
      </c>
      <c r="F630" s="488">
        <v>221</v>
      </c>
      <c r="G630" s="492" t="s">
        <v>828</v>
      </c>
      <c r="H630" s="490">
        <f>I630+J630+K630+L630+M630+N630</f>
        <v>45806.4</v>
      </c>
      <c r="I630" s="485">
        <v>45806.4</v>
      </c>
      <c r="J630" s="124"/>
      <c r="K630" s="112"/>
      <c r="L630" s="112"/>
      <c r="M630" s="112"/>
      <c r="N630" s="112"/>
    </row>
    <row r="631" spans="1:14" s="8" customFormat="1" ht="16.5" customHeight="1">
      <c r="A631" s="141" t="s">
        <v>316</v>
      </c>
      <c r="B631" s="114"/>
      <c r="C631" s="114">
        <v>221</v>
      </c>
      <c r="D631" s="115" t="s">
        <v>521</v>
      </c>
      <c r="E631" s="114">
        <v>244</v>
      </c>
      <c r="F631" s="114">
        <v>221</v>
      </c>
      <c r="G631" s="101" t="s">
        <v>533</v>
      </c>
      <c r="H631" s="117">
        <f>I631+J631+M631</f>
        <v>2909.1</v>
      </c>
      <c r="I631" s="124">
        <v>0</v>
      </c>
      <c r="J631" s="124"/>
      <c r="K631" s="112"/>
      <c r="L631" s="112"/>
      <c r="M631" s="112">
        <v>2909.1</v>
      </c>
      <c r="N631" s="112"/>
    </row>
    <row r="632" spans="1:14" s="8" customFormat="1" ht="15.75" customHeight="1">
      <c r="A632" s="141" t="s">
        <v>317</v>
      </c>
      <c r="B632" s="114"/>
      <c r="C632" s="114">
        <v>222</v>
      </c>
      <c r="D632" s="114"/>
      <c r="E632" s="114">
        <v>244</v>
      </c>
      <c r="F632" s="114">
        <v>222</v>
      </c>
      <c r="G632" s="121"/>
      <c r="H632" s="117">
        <f>I632+J632+K632+L632+M632+N632</f>
        <v>0</v>
      </c>
      <c r="I632" s="124"/>
      <c r="J632" s="124"/>
      <c r="K632" s="112"/>
      <c r="L632" s="112"/>
      <c r="M632" s="112"/>
      <c r="N632" s="112"/>
    </row>
    <row r="633" spans="1:14" s="8" customFormat="1" ht="14.25" customHeight="1">
      <c r="A633" s="141" t="s">
        <v>318</v>
      </c>
      <c r="B633" s="114"/>
      <c r="C633" s="114">
        <v>223</v>
      </c>
      <c r="D633" s="114"/>
      <c r="E633" s="114">
        <v>244</v>
      </c>
      <c r="F633" s="114">
        <v>223</v>
      </c>
      <c r="G633" s="121"/>
      <c r="H633" s="117">
        <f>I633+J633+M633</f>
        <v>3447560.04</v>
      </c>
      <c r="I633" s="124">
        <f>SUM(I635:I644)</f>
        <v>3142082.57</v>
      </c>
      <c r="J633" s="124">
        <f>SUM(J635:J644)</f>
        <v>0</v>
      </c>
      <c r="K633" s="124">
        <f>SUM(K635:K644)</f>
        <v>0</v>
      </c>
      <c r="L633" s="124">
        <f>SUM(L635:L644)</f>
        <v>0</v>
      </c>
      <c r="M633" s="124">
        <f>SUM(M641:M650)</f>
        <v>305477.47000000003</v>
      </c>
      <c r="N633" s="124">
        <f>N635+N638+N639+N642</f>
        <v>0</v>
      </c>
    </row>
    <row r="634" spans="1:14" s="8" customFormat="1" ht="12.75">
      <c r="A634" s="141" t="s">
        <v>4</v>
      </c>
      <c r="B634" s="114"/>
      <c r="C634" s="114"/>
      <c r="D634" s="114"/>
      <c r="E634" s="114"/>
      <c r="F634" s="114"/>
      <c r="G634" s="121"/>
      <c r="H634" s="117"/>
      <c r="I634" s="124"/>
      <c r="J634" s="124"/>
      <c r="K634" s="112"/>
      <c r="L634" s="112"/>
      <c r="M634" s="112"/>
      <c r="N634" s="112"/>
    </row>
    <row r="635" spans="1:14" s="8" customFormat="1" ht="15" customHeight="1">
      <c r="A635" s="141" t="s">
        <v>319</v>
      </c>
      <c r="B635" s="114"/>
      <c r="C635" s="114"/>
      <c r="D635" s="114">
        <v>800000000</v>
      </c>
      <c r="E635" s="114">
        <v>244</v>
      </c>
      <c r="F635" s="114"/>
      <c r="G635" s="101" t="s">
        <v>532</v>
      </c>
      <c r="H635" s="117">
        <f aca="true" t="shared" si="49" ref="H635:H664">I635+J635+K635+L635+M635+N635</f>
        <v>1604461.97</v>
      </c>
      <c r="I635" s="124">
        <f>1246845.97+357616</f>
        <v>1604461.97</v>
      </c>
      <c r="J635" s="124"/>
      <c r="K635" s="112"/>
      <c r="L635" s="112"/>
      <c r="M635" s="112">
        <v>0</v>
      </c>
      <c r="N635" s="112"/>
    </row>
    <row r="636" spans="1:14" s="8" customFormat="1" ht="15" customHeight="1">
      <c r="A636" s="141" t="s">
        <v>319</v>
      </c>
      <c r="B636" s="486"/>
      <c r="C636" s="486">
        <v>223</v>
      </c>
      <c r="D636" s="488">
        <v>800000000</v>
      </c>
      <c r="E636" s="486">
        <v>244</v>
      </c>
      <c r="F636" s="486">
        <v>223</v>
      </c>
      <c r="G636" s="492" t="s">
        <v>828</v>
      </c>
      <c r="H636" s="490">
        <f>I636+J636+K636+L636+M636+N636</f>
        <v>459884</v>
      </c>
      <c r="I636" s="485">
        <v>459884</v>
      </c>
      <c r="J636" s="124"/>
      <c r="K636" s="112"/>
      <c r="L636" s="112"/>
      <c r="M636" s="112"/>
      <c r="N636" s="112"/>
    </row>
    <row r="637" spans="1:14" s="8" customFormat="1" ht="15" customHeight="1">
      <c r="A637" s="141" t="s">
        <v>319</v>
      </c>
      <c r="B637" s="486"/>
      <c r="C637" s="486">
        <v>223</v>
      </c>
      <c r="D637" s="488">
        <v>800000000</v>
      </c>
      <c r="E637" s="486">
        <v>244</v>
      </c>
      <c r="F637" s="486">
        <v>223</v>
      </c>
      <c r="G637" s="493" t="s">
        <v>532</v>
      </c>
      <c r="H637" s="490">
        <f>I637+J637+K637+L637+M637+N637</f>
        <v>0</v>
      </c>
      <c r="I637" s="485"/>
      <c r="J637" s="124"/>
      <c r="K637" s="112"/>
      <c r="L637" s="112"/>
      <c r="M637" s="112"/>
      <c r="N637" s="112"/>
    </row>
    <row r="638" spans="1:14" s="8" customFormat="1" ht="15" customHeight="1">
      <c r="A638" s="141" t="s">
        <v>320</v>
      </c>
      <c r="B638" s="114"/>
      <c r="C638" s="114"/>
      <c r="D638" s="114">
        <v>800000000</v>
      </c>
      <c r="E638" s="114">
        <v>244</v>
      </c>
      <c r="F638" s="114"/>
      <c r="G638" s="101" t="s">
        <v>532</v>
      </c>
      <c r="H638" s="117">
        <f t="shared" si="49"/>
        <v>0</v>
      </c>
      <c r="I638" s="124">
        <v>0</v>
      </c>
      <c r="J638" s="124"/>
      <c r="K638" s="112"/>
      <c r="L638" s="112"/>
      <c r="M638" s="112"/>
      <c r="N638" s="112"/>
    </row>
    <row r="639" spans="1:14" s="8" customFormat="1" ht="15" customHeight="1">
      <c r="A639" s="141" t="s">
        <v>321</v>
      </c>
      <c r="B639" s="114"/>
      <c r="C639" s="114"/>
      <c r="D639" s="114">
        <v>800000000</v>
      </c>
      <c r="E639" s="114">
        <v>244</v>
      </c>
      <c r="F639" s="114"/>
      <c r="G639" s="101" t="s">
        <v>532</v>
      </c>
      <c r="H639" s="117">
        <f t="shared" si="49"/>
        <v>568356.6799999999</v>
      </c>
      <c r="I639" s="124">
        <f>470359.68+97997</f>
        <v>568356.6799999999</v>
      </c>
      <c r="J639" s="124"/>
      <c r="K639" s="112"/>
      <c r="L639" s="112"/>
      <c r="M639" s="112"/>
      <c r="N639" s="112"/>
    </row>
    <row r="640" spans="1:14" s="8" customFormat="1" ht="15" customHeight="1">
      <c r="A640" s="141" t="s">
        <v>321</v>
      </c>
      <c r="B640" s="486"/>
      <c r="C640" s="486">
        <v>223</v>
      </c>
      <c r="D640" s="488">
        <v>800000000</v>
      </c>
      <c r="E640" s="486">
        <v>244</v>
      </c>
      <c r="F640" s="486">
        <v>223</v>
      </c>
      <c r="G640" s="492" t="s">
        <v>828</v>
      </c>
      <c r="H640" s="490">
        <f>I640+J640+K640+L640+M640+N640</f>
        <v>240227</v>
      </c>
      <c r="I640" s="485">
        <v>240227</v>
      </c>
      <c r="J640" s="124"/>
      <c r="K640" s="112"/>
      <c r="L640" s="112"/>
      <c r="M640" s="112"/>
      <c r="N640" s="112"/>
    </row>
    <row r="641" spans="1:14" s="8" customFormat="1" ht="15" customHeight="1">
      <c r="A641" s="141" t="s">
        <v>321</v>
      </c>
      <c r="B641" s="486"/>
      <c r="C641" s="486">
        <v>223</v>
      </c>
      <c r="D641" s="488">
        <v>800000000</v>
      </c>
      <c r="E641" s="486">
        <v>244</v>
      </c>
      <c r="F641" s="486">
        <v>223</v>
      </c>
      <c r="G641" s="493" t="s">
        <v>532</v>
      </c>
      <c r="H641" s="490">
        <f>I641+J641+K641+L641+M641+N641</f>
        <v>0</v>
      </c>
      <c r="I641" s="485"/>
      <c r="J641" s="124"/>
      <c r="K641" s="112"/>
      <c r="L641" s="112"/>
      <c r="M641" s="112"/>
      <c r="N641" s="112"/>
    </row>
    <row r="642" spans="1:14" s="8" customFormat="1" ht="15" customHeight="1">
      <c r="A642" s="141" t="s">
        <v>322</v>
      </c>
      <c r="B642" s="114"/>
      <c r="C642" s="114"/>
      <c r="D642" s="114">
        <v>800000000</v>
      </c>
      <c r="E642" s="114">
        <v>244</v>
      </c>
      <c r="F642" s="114"/>
      <c r="G642" s="101" t="s">
        <v>532</v>
      </c>
      <c r="H642" s="117">
        <f t="shared" si="49"/>
        <v>148192.91999999998</v>
      </c>
      <c r="I642" s="124">
        <f>125152.92+23040</f>
        <v>148192.91999999998</v>
      </c>
      <c r="J642" s="124"/>
      <c r="K642" s="112"/>
      <c r="L642" s="112"/>
      <c r="M642" s="112"/>
      <c r="N642" s="112"/>
    </row>
    <row r="643" spans="1:14" s="8" customFormat="1" ht="15" customHeight="1">
      <c r="A643" s="141" t="s">
        <v>322</v>
      </c>
      <c r="B643" s="486"/>
      <c r="C643" s="486">
        <v>223</v>
      </c>
      <c r="D643" s="488">
        <v>800000000</v>
      </c>
      <c r="E643" s="486">
        <v>244</v>
      </c>
      <c r="F643" s="486">
        <v>223</v>
      </c>
      <c r="G643" s="492" t="s">
        <v>828</v>
      </c>
      <c r="H643" s="490">
        <f>I643+J643+K643+L643+M643+N643</f>
        <v>120960</v>
      </c>
      <c r="I643" s="485">
        <v>120960</v>
      </c>
      <c r="J643" s="124"/>
      <c r="K643" s="112"/>
      <c r="L643" s="112"/>
      <c r="M643" s="112"/>
      <c r="N643" s="112"/>
    </row>
    <row r="644" spans="1:14" s="8" customFormat="1" ht="15" customHeight="1">
      <c r="A644" s="141" t="s">
        <v>322</v>
      </c>
      <c r="B644" s="486"/>
      <c r="C644" s="486">
        <v>223</v>
      </c>
      <c r="D644" s="488">
        <v>800000000</v>
      </c>
      <c r="E644" s="486">
        <v>244</v>
      </c>
      <c r="F644" s="486">
        <v>223</v>
      </c>
      <c r="G644" s="493" t="s">
        <v>532</v>
      </c>
      <c r="H644" s="490">
        <f>I644+J644+K644+L644+M644+N644</f>
        <v>0</v>
      </c>
      <c r="I644" s="485"/>
      <c r="J644" s="124"/>
      <c r="K644" s="112"/>
      <c r="L644" s="112"/>
      <c r="M644" s="112"/>
      <c r="N644" s="112"/>
    </row>
    <row r="645" spans="1:14" s="8" customFormat="1" ht="15" customHeight="1">
      <c r="A645" s="141" t="s">
        <v>319</v>
      </c>
      <c r="B645" s="114"/>
      <c r="C645" s="114"/>
      <c r="D645" s="115" t="s">
        <v>521</v>
      </c>
      <c r="E645" s="114">
        <v>244</v>
      </c>
      <c r="F645" s="114"/>
      <c r="G645" s="101" t="s">
        <v>533</v>
      </c>
      <c r="H645" s="117">
        <f t="shared" si="49"/>
        <v>71801.35</v>
      </c>
      <c r="I645" s="124">
        <v>0</v>
      </c>
      <c r="J645" s="124"/>
      <c r="K645" s="112"/>
      <c r="L645" s="112"/>
      <c r="M645" s="112">
        <f>9301.35+62500</f>
        <v>71801.35</v>
      </c>
      <c r="N645" s="112"/>
    </row>
    <row r="646" spans="1:14" s="8" customFormat="1" ht="15" customHeight="1" hidden="1">
      <c r="A646" s="141" t="s">
        <v>319</v>
      </c>
      <c r="B646" s="486"/>
      <c r="C646" s="486">
        <v>223</v>
      </c>
      <c r="D646" s="487" t="s">
        <v>521</v>
      </c>
      <c r="E646" s="486">
        <v>244</v>
      </c>
      <c r="F646" s="486">
        <v>223</v>
      </c>
      <c r="G646" s="493" t="s">
        <v>533</v>
      </c>
      <c r="H646" s="490">
        <f>I646+J646+K646+L646+M646+N646</f>
        <v>0</v>
      </c>
      <c r="I646" s="484">
        <v>0</v>
      </c>
      <c r="J646" s="484">
        <v>0</v>
      </c>
      <c r="K646" s="112">
        <v>0</v>
      </c>
      <c r="L646" s="112">
        <v>0</v>
      </c>
      <c r="M646" s="496"/>
      <c r="N646" s="112"/>
    </row>
    <row r="647" spans="1:14" s="8" customFormat="1" ht="15" customHeight="1">
      <c r="A647" s="141" t="s">
        <v>321</v>
      </c>
      <c r="B647" s="114"/>
      <c r="C647" s="114"/>
      <c r="D647" s="115" t="s">
        <v>521</v>
      </c>
      <c r="E647" s="114">
        <v>244</v>
      </c>
      <c r="F647" s="114"/>
      <c r="G647" s="101" t="s">
        <v>533</v>
      </c>
      <c r="H647" s="117">
        <f t="shared" si="49"/>
        <v>175138.88</v>
      </c>
      <c r="I647" s="124">
        <v>0</v>
      </c>
      <c r="J647" s="124"/>
      <c r="K647" s="112"/>
      <c r="L647" s="112"/>
      <c r="M647" s="112">
        <f>143362.88+31776</f>
        <v>175138.88</v>
      </c>
      <c r="N647" s="112"/>
    </row>
    <row r="648" spans="1:14" s="8" customFormat="1" ht="15" customHeight="1" hidden="1">
      <c r="A648" s="141" t="s">
        <v>321</v>
      </c>
      <c r="B648" s="486"/>
      <c r="C648" s="486">
        <v>223</v>
      </c>
      <c r="D648" s="487" t="s">
        <v>521</v>
      </c>
      <c r="E648" s="486">
        <v>244</v>
      </c>
      <c r="F648" s="486">
        <v>223</v>
      </c>
      <c r="G648" s="493" t="s">
        <v>533</v>
      </c>
      <c r="H648" s="490">
        <f>I648+J648+K648+L648+M648+N648</f>
        <v>0</v>
      </c>
      <c r="I648" s="484">
        <v>0</v>
      </c>
      <c r="J648" s="484">
        <v>0</v>
      </c>
      <c r="K648" s="112">
        <v>0</v>
      </c>
      <c r="L648" s="112">
        <v>0</v>
      </c>
      <c r="M648" s="496"/>
      <c r="N648" s="112"/>
    </row>
    <row r="649" spans="1:14" s="8" customFormat="1" ht="15" customHeight="1">
      <c r="A649" s="141" t="s">
        <v>322</v>
      </c>
      <c r="B649" s="114"/>
      <c r="C649" s="114"/>
      <c r="D649" s="115" t="s">
        <v>521</v>
      </c>
      <c r="E649" s="114">
        <v>244</v>
      </c>
      <c r="F649" s="114"/>
      <c r="G649" s="101" t="s">
        <v>533</v>
      </c>
      <c r="H649" s="117">
        <f t="shared" si="49"/>
        <v>58537.24</v>
      </c>
      <c r="I649" s="124">
        <v>0</v>
      </c>
      <c r="J649" s="124"/>
      <c r="K649" s="112"/>
      <c r="L649" s="112"/>
      <c r="M649" s="112">
        <f>42537.24+16000</f>
        <v>58537.24</v>
      </c>
      <c r="N649" s="112"/>
    </row>
    <row r="650" spans="1:14" s="8" customFormat="1" ht="15" customHeight="1" hidden="1">
      <c r="A650" s="141" t="s">
        <v>322</v>
      </c>
      <c r="B650" s="486"/>
      <c r="C650" s="486">
        <v>223</v>
      </c>
      <c r="D650" s="487" t="s">
        <v>521</v>
      </c>
      <c r="E650" s="486">
        <v>244</v>
      </c>
      <c r="F650" s="486">
        <v>223</v>
      </c>
      <c r="G650" s="493" t="s">
        <v>533</v>
      </c>
      <c r="H650" s="490">
        <f>I650+J650+K650+L650+M650+N650</f>
        <v>0</v>
      </c>
      <c r="I650" s="484">
        <v>0</v>
      </c>
      <c r="J650" s="484">
        <v>0</v>
      </c>
      <c r="K650" s="112">
        <v>0</v>
      </c>
      <c r="L650" s="112">
        <v>0</v>
      </c>
      <c r="M650" s="496"/>
      <c r="N650" s="112"/>
    </row>
    <row r="651" spans="1:14" s="8" customFormat="1" ht="15" customHeight="1">
      <c r="A651" s="141" t="s">
        <v>323</v>
      </c>
      <c r="B651" s="114"/>
      <c r="C651" s="114">
        <v>224</v>
      </c>
      <c r="D651" s="114"/>
      <c r="E651" s="114"/>
      <c r="F651" s="114">
        <v>224</v>
      </c>
      <c r="G651" s="121"/>
      <c r="H651" s="117">
        <f t="shared" si="49"/>
        <v>0</v>
      </c>
      <c r="I651" s="124">
        <v>0</v>
      </c>
      <c r="J651" s="124"/>
      <c r="K651" s="112"/>
      <c r="L651" s="112"/>
      <c r="M651" s="112"/>
      <c r="N651" s="112"/>
    </row>
    <row r="652" spans="1:14" s="8" customFormat="1" ht="15" customHeight="1">
      <c r="A652" s="141" t="s">
        <v>324</v>
      </c>
      <c r="B652" s="114"/>
      <c r="C652" s="114">
        <v>225</v>
      </c>
      <c r="D652" s="114">
        <v>800000000</v>
      </c>
      <c r="E652" s="114">
        <v>244</v>
      </c>
      <c r="F652" s="114">
        <v>225</v>
      </c>
      <c r="G652" s="101" t="s">
        <v>531</v>
      </c>
      <c r="H652" s="117">
        <f t="shared" si="49"/>
        <v>132945.86</v>
      </c>
      <c r="I652" s="124">
        <v>132945.86</v>
      </c>
      <c r="J652" s="124"/>
      <c r="K652" s="112"/>
      <c r="L652" s="112"/>
      <c r="M652" s="112"/>
      <c r="N652" s="112"/>
    </row>
    <row r="653" spans="1:14" s="8" customFormat="1" ht="15" customHeight="1">
      <c r="A653" s="141" t="s">
        <v>324</v>
      </c>
      <c r="B653" s="114"/>
      <c r="C653" s="114">
        <v>225</v>
      </c>
      <c r="D653" s="114">
        <v>800000000</v>
      </c>
      <c r="E653" s="114">
        <v>244</v>
      </c>
      <c r="F653" s="114">
        <v>225</v>
      </c>
      <c r="G653" s="101" t="s">
        <v>532</v>
      </c>
      <c r="H653" s="117">
        <f t="shared" si="49"/>
        <v>2352681.11</v>
      </c>
      <c r="I653" s="124">
        <f>2200842.68+69364.53+82473.9</f>
        <v>2352681.11</v>
      </c>
      <c r="J653" s="124"/>
      <c r="K653" s="112"/>
      <c r="L653" s="112"/>
      <c r="M653" s="112"/>
      <c r="N653" s="112"/>
    </row>
    <row r="654" spans="1:14" s="8" customFormat="1" ht="15" customHeight="1">
      <c r="A654" s="141" t="s">
        <v>324</v>
      </c>
      <c r="B654" s="486"/>
      <c r="C654" s="486">
        <v>225</v>
      </c>
      <c r="D654" s="488">
        <v>800000000</v>
      </c>
      <c r="E654" s="486">
        <v>244</v>
      </c>
      <c r="F654" s="486">
        <v>225</v>
      </c>
      <c r="G654" s="492" t="s">
        <v>828</v>
      </c>
      <c r="H654" s="490">
        <f>I654+J654+K654+L654+M654+N654</f>
        <v>432987.99</v>
      </c>
      <c r="I654" s="485">
        <v>432987.99</v>
      </c>
      <c r="J654" s="124"/>
      <c r="K654" s="112"/>
      <c r="L654" s="112"/>
      <c r="M654" s="112"/>
      <c r="N654" s="112"/>
    </row>
    <row r="655" spans="1:14" s="8" customFormat="1" ht="15" customHeight="1">
      <c r="A655" s="141" t="s">
        <v>324</v>
      </c>
      <c r="B655" s="486"/>
      <c r="C655" s="486">
        <v>225</v>
      </c>
      <c r="D655" s="488">
        <v>800000000</v>
      </c>
      <c r="E655" s="486">
        <v>244</v>
      </c>
      <c r="F655" s="486">
        <v>225</v>
      </c>
      <c r="G655" s="493" t="s">
        <v>532</v>
      </c>
      <c r="H655" s="490">
        <f>I655+J655+K655+L655+M655+N655</f>
        <v>0</v>
      </c>
      <c r="I655" s="485"/>
      <c r="J655" s="124"/>
      <c r="K655" s="112"/>
      <c r="L655" s="112"/>
      <c r="M655" s="112"/>
      <c r="N655" s="112"/>
    </row>
    <row r="656" spans="1:14" s="8" customFormat="1" ht="15" customHeight="1">
      <c r="A656" s="141" t="s">
        <v>324</v>
      </c>
      <c r="B656" s="114"/>
      <c r="C656" s="114">
        <v>225</v>
      </c>
      <c r="D656" s="115" t="s">
        <v>521</v>
      </c>
      <c r="E656" s="114">
        <v>244</v>
      </c>
      <c r="F656" s="114">
        <v>225</v>
      </c>
      <c r="G656" s="101" t="s">
        <v>533</v>
      </c>
      <c r="H656" s="117">
        <f t="shared" si="49"/>
        <v>2940347.3499999996</v>
      </c>
      <c r="I656" s="124">
        <v>0</v>
      </c>
      <c r="J656" s="124"/>
      <c r="K656" s="112"/>
      <c r="L656" s="112"/>
      <c r="M656" s="112">
        <f>2600998.63+33943.32+10000+295405.4</f>
        <v>2940347.3499999996</v>
      </c>
      <c r="N656" s="112"/>
    </row>
    <row r="657" spans="1:14" s="8" customFormat="1" ht="15" customHeight="1" hidden="1">
      <c r="A657" s="141" t="s">
        <v>324</v>
      </c>
      <c r="B657" s="486"/>
      <c r="C657" s="486">
        <v>225</v>
      </c>
      <c r="D657" s="487" t="s">
        <v>521</v>
      </c>
      <c r="E657" s="486">
        <v>244</v>
      </c>
      <c r="F657" s="486">
        <v>225</v>
      </c>
      <c r="G657" s="493" t="s">
        <v>533</v>
      </c>
      <c r="H657" s="490">
        <f>I657+J657+K657+L657+M657+N657</f>
        <v>0</v>
      </c>
      <c r="I657" s="484">
        <v>0</v>
      </c>
      <c r="J657" s="484">
        <v>0</v>
      </c>
      <c r="K657" s="112">
        <v>0</v>
      </c>
      <c r="L657" s="112">
        <v>0</v>
      </c>
      <c r="M657" s="496"/>
      <c r="N657" s="112"/>
    </row>
    <row r="658" spans="1:14" s="8" customFormat="1" ht="15" customHeight="1">
      <c r="A658" s="141" t="s">
        <v>325</v>
      </c>
      <c r="B658" s="114"/>
      <c r="C658" s="114">
        <v>310</v>
      </c>
      <c r="D658" s="114">
        <v>800000000</v>
      </c>
      <c r="E658" s="114">
        <v>244</v>
      </c>
      <c r="F658" s="114">
        <v>310</v>
      </c>
      <c r="G658" s="101" t="s">
        <v>531</v>
      </c>
      <c r="H658" s="117">
        <f t="shared" si="49"/>
        <v>511217</v>
      </c>
      <c r="I658" s="124">
        <f>450000+61217</f>
        <v>511217</v>
      </c>
      <c r="J658" s="124"/>
      <c r="K658" s="112"/>
      <c r="L658" s="112"/>
      <c r="M658" s="112"/>
      <c r="N658" s="112"/>
    </row>
    <row r="659" spans="1:14" s="8" customFormat="1" ht="15" customHeight="1">
      <c r="A659" s="141" t="s">
        <v>325</v>
      </c>
      <c r="B659" s="114"/>
      <c r="C659" s="114">
        <v>310</v>
      </c>
      <c r="D659" s="114">
        <v>800000000</v>
      </c>
      <c r="E659" s="114">
        <v>244</v>
      </c>
      <c r="F659" s="114">
        <v>310</v>
      </c>
      <c r="G659" s="101" t="s">
        <v>532</v>
      </c>
      <c r="H659" s="117">
        <f t="shared" si="49"/>
        <v>262999.9</v>
      </c>
      <c r="I659" s="124">
        <f>295000-32000.1</f>
        <v>262999.9</v>
      </c>
      <c r="J659" s="124"/>
      <c r="K659" s="112"/>
      <c r="L659" s="112"/>
      <c r="M659" s="112"/>
      <c r="N659" s="112"/>
    </row>
    <row r="660" spans="1:14" s="8" customFormat="1" ht="15" customHeight="1">
      <c r="A660" s="141" t="s">
        <v>325</v>
      </c>
      <c r="B660" s="486"/>
      <c r="C660" s="486">
        <v>310</v>
      </c>
      <c r="D660" s="488">
        <v>800000000</v>
      </c>
      <c r="E660" s="486">
        <v>244</v>
      </c>
      <c r="F660" s="486">
        <v>310</v>
      </c>
      <c r="G660" s="489" t="s">
        <v>535</v>
      </c>
      <c r="H660" s="490">
        <f>I660+J660+K660+L660+M660+N660</f>
        <v>194426</v>
      </c>
      <c r="I660" s="485">
        <v>194426</v>
      </c>
      <c r="J660" s="124"/>
      <c r="K660" s="112"/>
      <c r="L660" s="112"/>
      <c r="M660" s="112"/>
      <c r="N660" s="112"/>
    </row>
    <row r="661" spans="1:14" s="8" customFormat="1" ht="15" customHeight="1">
      <c r="A661" s="141" t="s">
        <v>325</v>
      </c>
      <c r="B661" s="486"/>
      <c r="C661" s="486">
        <v>310</v>
      </c>
      <c r="D661" s="488">
        <v>800000000</v>
      </c>
      <c r="E661" s="486">
        <v>244</v>
      </c>
      <c r="F661" s="486">
        <v>310</v>
      </c>
      <c r="G661" s="489" t="s">
        <v>531</v>
      </c>
      <c r="H661" s="490">
        <f>I661+J661+K661+L661+M661+N661</f>
        <v>0</v>
      </c>
      <c r="I661" s="485"/>
      <c r="J661" s="124"/>
      <c r="K661" s="112"/>
      <c r="L661" s="112"/>
      <c r="M661" s="112"/>
      <c r="N661" s="112"/>
    </row>
    <row r="662" spans="1:14" s="8" customFormat="1" ht="15" customHeight="1">
      <c r="A662" s="141" t="s">
        <v>325</v>
      </c>
      <c r="B662" s="114"/>
      <c r="C662" s="114">
        <v>310</v>
      </c>
      <c r="D662" s="115" t="s">
        <v>521</v>
      </c>
      <c r="E662" s="114">
        <v>244</v>
      </c>
      <c r="F662" s="114">
        <v>310</v>
      </c>
      <c r="G662" s="101" t="s">
        <v>533</v>
      </c>
      <c r="H662" s="117">
        <f t="shared" si="49"/>
        <v>204248</v>
      </c>
      <c r="I662" s="124">
        <v>0</v>
      </c>
      <c r="J662" s="124"/>
      <c r="K662" s="112"/>
      <c r="L662" s="112"/>
      <c r="M662" s="112">
        <f>104248+100000</f>
        <v>204248</v>
      </c>
      <c r="N662" s="112"/>
    </row>
    <row r="663" spans="1:14" s="8" customFormat="1" ht="15" customHeight="1" hidden="1">
      <c r="A663" s="141" t="s">
        <v>325</v>
      </c>
      <c r="B663" s="486"/>
      <c r="C663" s="486">
        <v>310</v>
      </c>
      <c r="D663" s="487" t="s">
        <v>521</v>
      </c>
      <c r="E663" s="486">
        <v>244</v>
      </c>
      <c r="F663" s="486">
        <v>310</v>
      </c>
      <c r="G663" s="493" t="s">
        <v>533</v>
      </c>
      <c r="H663" s="490">
        <f>I663+J663+K663+L663+M663+N663</f>
        <v>0</v>
      </c>
      <c r="I663" s="484">
        <v>0</v>
      </c>
      <c r="J663" s="484">
        <v>0</v>
      </c>
      <c r="K663" s="112">
        <v>0</v>
      </c>
      <c r="L663" s="112">
        <v>0</v>
      </c>
      <c r="M663" s="496"/>
      <c r="N663" s="112"/>
    </row>
    <row r="664" spans="1:14" s="8" customFormat="1" ht="15" customHeight="1">
      <c r="A664" s="141" t="s">
        <v>326</v>
      </c>
      <c r="B664" s="114"/>
      <c r="C664" s="114">
        <v>320</v>
      </c>
      <c r="D664" s="114"/>
      <c r="E664" s="114">
        <v>244</v>
      </c>
      <c r="F664" s="114">
        <v>320</v>
      </c>
      <c r="G664" s="121"/>
      <c r="H664" s="117">
        <f t="shared" si="49"/>
        <v>0</v>
      </c>
      <c r="I664" s="124">
        <v>0</v>
      </c>
      <c r="J664" s="124"/>
      <c r="K664" s="112"/>
      <c r="L664" s="112"/>
      <c r="M664" s="112"/>
      <c r="N664" s="112"/>
    </row>
    <row r="665" spans="1:14" s="8" customFormat="1" ht="15" customHeight="1">
      <c r="A665" s="141" t="s">
        <v>327</v>
      </c>
      <c r="B665" s="114"/>
      <c r="C665" s="114">
        <v>340</v>
      </c>
      <c r="D665" s="114"/>
      <c r="E665" s="114">
        <v>244</v>
      </c>
      <c r="F665" s="114">
        <v>340</v>
      </c>
      <c r="G665" s="121"/>
      <c r="H665" s="117">
        <f>I665+J665+K665+L665+M665+N665</f>
        <v>5024408.15</v>
      </c>
      <c r="I665" s="124">
        <f>I666+I667+I668+I670+I675+I671+I672</f>
        <v>654364.15</v>
      </c>
      <c r="J665" s="124">
        <f>J666+J667+J668+J670+J675</f>
        <v>0</v>
      </c>
      <c r="K665" s="124">
        <f>K666+K667+K668+K670+K675</f>
        <v>0</v>
      </c>
      <c r="L665" s="124">
        <f>L666+L667+L668+L670+L675</f>
        <v>0</v>
      </c>
      <c r="M665" s="124">
        <f>SUM(M666:M674)</f>
        <v>4370044</v>
      </c>
      <c r="N665" s="124">
        <f>N666+N667+N668+N670+N675</f>
        <v>0</v>
      </c>
    </row>
    <row r="666" spans="1:14" s="8" customFormat="1" ht="15" customHeight="1">
      <c r="A666" s="141" t="s">
        <v>4</v>
      </c>
      <c r="B666" s="114"/>
      <c r="C666" s="114"/>
      <c r="D666" s="114"/>
      <c r="E666" s="114"/>
      <c r="F666" s="114"/>
      <c r="G666" s="121"/>
      <c r="H666" s="117"/>
      <c r="I666" s="124"/>
      <c r="J666" s="124"/>
      <c r="K666" s="112"/>
      <c r="L666" s="112"/>
      <c r="M666" s="112"/>
      <c r="N666" s="112"/>
    </row>
    <row r="667" spans="1:14" s="8" customFormat="1" ht="15" customHeight="1">
      <c r="A667" s="141" t="s">
        <v>328</v>
      </c>
      <c r="B667" s="486"/>
      <c r="C667" s="486">
        <v>340</v>
      </c>
      <c r="D667" s="488">
        <v>800000000</v>
      </c>
      <c r="E667" s="486">
        <v>244</v>
      </c>
      <c r="F667" s="486">
        <v>341</v>
      </c>
      <c r="G667" s="492" t="s">
        <v>828</v>
      </c>
      <c r="H667" s="490">
        <f aca="true" t="shared" si="50" ref="H667:H675">I667+J667+K667+L667+M667+N667</f>
        <v>7000</v>
      </c>
      <c r="I667" s="485">
        <v>7000</v>
      </c>
      <c r="J667" s="124"/>
      <c r="K667" s="112"/>
      <c r="L667" s="112"/>
      <c r="M667" s="112"/>
      <c r="N667" s="112"/>
    </row>
    <row r="668" spans="1:14" s="8" customFormat="1" ht="15" customHeight="1">
      <c r="A668" s="141" t="s">
        <v>329</v>
      </c>
      <c r="B668" s="486"/>
      <c r="C668" s="486">
        <v>340</v>
      </c>
      <c r="D668" s="488">
        <v>800000000</v>
      </c>
      <c r="E668" s="486">
        <v>244</v>
      </c>
      <c r="F668" s="486">
        <v>342</v>
      </c>
      <c r="G668" s="492" t="s">
        <v>828</v>
      </c>
      <c r="H668" s="490">
        <f t="shared" si="50"/>
        <v>437421.05</v>
      </c>
      <c r="I668" s="485">
        <v>437421.05</v>
      </c>
      <c r="J668" s="124"/>
      <c r="K668" s="112"/>
      <c r="L668" s="112"/>
      <c r="M668" s="112"/>
      <c r="N668" s="112"/>
    </row>
    <row r="669" spans="1:14" s="8" customFormat="1" ht="15" customHeight="1">
      <c r="A669" s="141" t="s">
        <v>329</v>
      </c>
      <c r="B669" s="486"/>
      <c r="C669" s="486">
        <v>340</v>
      </c>
      <c r="D669" s="487" t="s">
        <v>521</v>
      </c>
      <c r="E669" s="486">
        <v>244</v>
      </c>
      <c r="F669" s="486">
        <v>342</v>
      </c>
      <c r="G669" s="493" t="s">
        <v>533</v>
      </c>
      <c r="H669" s="490">
        <f t="shared" si="50"/>
        <v>4230044</v>
      </c>
      <c r="I669" s="484">
        <v>0</v>
      </c>
      <c r="J669" s="484">
        <v>0</v>
      </c>
      <c r="K669" s="112">
        <v>0</v>
      </c>
      <c r="L669" s="112">
        <v>0</v>
      </c>
      <c r="M669" s="495">
        <v>4230044</v>
      </c>
      <c r="N669" s="112"/>
    </row>
    <row r="670" spans="1:14" s="8" customFormat="1" ht="15" customHeight="1">
      <c r="A670" s="141" t="s">
        <v>330</v>
      </c>
      <c r="B670" s="114"/>
      <c r="C670" s="114">
        <v>340</v>
      </c>
      <c r="D670" s="114">
        <v>800000000</v>
      </c>
      <c r="E670" s="114">
        <v>244</v>
      </c>
      <c r="F670" s="114">
        <v>346</v>
      </c>
      <c r="G670" s="101" t="s">
        <v>532</v>
      </c>
      <c r="H670" s="117">
        <f t="shared" si="50"/>
        <v>200597.04</v>
      </c>
      <c r="I670" s="124">
        <f>124943.1+75653.94</f>
        <v>200597.04</v>
      </c>
      <c r="J670" s="124"/>
      <c r="K670" s="112"/>
      <c r="L670" s="112"/>
      <c r="M670" s="112"/>
      <c r="N670" s="112"/>
    </row>
    <row r="671" spans="1:14" s="8" customFormat="1" ht="15" customHeight="1">
      <c r="A671" s="141" t="s">
        <v>330</v>
      </c>
      <c r="B671" s="486"/>
      <c r="C671" s="486">
        <v>340</v>
      </c>
      <c r="D671" s="488">
        <v>800000000</v>
      </c>
      <c r="E671" s="486">
        <v>244</v>
      </c>
      <c r="F671" s="486">
        <v>346</v>
      </c>
      <c r="G671" s="492" t="s">
        <v>828</v>
      </c>
      <c r="H671" s="490">
        <f t="shared" si="50"/>
        <v>9346.06</v>
      </c>
      <c r="I671" s="485">
        <v>9346.06</v>
      </c>
      <c r="J671" s="484">
        <v>0</v>
      </c>
      <c r="K671" s="112">
        <v>0</v>
      </c>
      <c r="L671" s="112">
        <v>0</v>
      </c>
      <c r="M671" s="495">
        <v>0</v>
      </c>
      <c r="N671" s="112"/>
    </row>
    <row r="672" spans="1:14" s="8" customFormat="1" ht="15" customHeight="1">
      <c r="A672" s="141" t="s">
        <v>330</v>
      </c>
      <c r="B672" s="486"/>
      <c r="C672" s="486">
        <v>340</v>
      </c>
      <c r="D672" s="488">
        <v>800000000</v>
      </c>
      <c r="E672" s="486">
        <v>244</v>
      </c>
      <c r="F672" s="486">
        <v>346</v>
      </c>
      <c r="G672" s="493" t="s">
        <v>532</v>
      </c>
      <c r="H672" s="490">
        <f t="shared" si="50"/>
        <v>0</v>
      </c>
      <c r="I672" s="485"/>
      <c r="J672" s="484">
        <v>0</v>
      </c>
      <c r="K672" s="112">
        <v>0</v>
      </c>
      <c r="L672" s="112">
        <v>0</v>
      </c>
      <c r="M672" s="495">
        <v>0</v>
      </c>
      <c r="N672" s="112"/>
    </row>
    <row r="673" spans="1:14" s="8" customFormat="1" ht="15" customHeight="1">
      <c r="A673" s="141" t="s">
        <v>849</v>
      </c>
      <c r="B673" s="486"/>
      <c r="C673" s="486">
        <v>340</v>
      </c>
      <c r="D673" s="487" t="s">
        <v>521</v>
      </c>
      <c r="E673" s="486">
        <v>244</v>
      </c>
      <c r="F673" s="486">
        <v>345</v>
      </c>
      <c r="G673" s="493" t="s">
        <v>533</v>
      </c>
      <c r="H673" s="490">
        <f t="shared" si="50"/>
        <v>100000</v>
      </c>
      <c r="I673" s="484">
        <v>0</v>
      </c>
      <c r="J673" s="484">
        <v>0</v>
      </c>
      <c r="K673" s="112">
        <v>0</v>
      </c>
      <c r="L673" s="112">
        <v>0</v>
      </c>
      <c r="M673" s="495">
        <v>100000</v>
      </c>
      <c r="N673" s="112"/>
    </row>
    <row r="674" spans="1:14" s="8" customFormat="1" ht="15" customHeight="1">
      <c r="A674" s="141" t="s">
        <v>330</v>
      </c>
      <c r="B674" s="486"/>
      <c r="C674" s="486">
        <v>340</v>
      </c>
      <c r="D674" s="487" t="s">
        <v>521</v>
      </c>
      <c r="E674" s="486">
        <v>244</v>
      </c>
      <c r="F674" s="486">
        <v>346</v>
      </c>
      <c r="G674" s="493" t="s">
        <v>533</v>
      </c>
      <c r="H674" s="490">
        <f t="shared" si="50"/>
        <v>40000</v>
      </c>
      <c r="I674" s="484">
        <v>0</v>
      </c>
      <c r="J674" s="484">
        <v>0</v>
      </c>
      <c r="K674" s="112">
        <v>0</v>
      </c>
      <c r="L674" s="112">
        <v>0</v>
      </c>
      <c r="M674" s="495">
        <v>40000</v>
      </c>
      <c r="N674" s="112"/>
    </row>
    <row r="675" spans="1:14" s="8" customFormat="1" ht="15" customHeight="1">
      <c r="A675" s="141" t="s">
        <v>331</v>
      </c>
      <c r="B675" s="114"/>
      <c r="C675" s="114"/>
      <c r="D675" s="114"/>
      <c r="E675" s="114"/>
      <c r="F675" s="114"/>
      <c r="G675" s="121"/>
      <c r="H675" s="117">
        <f t="shared" si="50"/>
        <v>0</v>
      </c>
      <c r="I675" s="124">
        <v>0</v>
      </c>
      <c r="J675" s="124"/>
      <c r="K675" s="112"/>
      <c r="L675" s="112"/>
      <c r="M675" s="112"/>
      <c r="N675" s="112"/>
    </row>
    <row r="676" spans="1:14" s="8" customFormat="1" ht="17.25" customHeight="1">
      <c r="A676" s="141" t="s">
        <v>332</v>
      </c>
      <c r="B676" s="114"/>
      <c r="C676" s="114">
        <v>530</v>
      </c>
      <c r="D676" s="114"/>
      <c r="E676" s="114">
        <v>465</v>
      </c>
      <c r="F676" s="114">
        <v>530</v>
      </c>
      <c r="G676" s="121"/>
      <c r="H676" s="117"/>
      <c r="I676" s="124"/>
      <c r="J676" s="124"/>
      <c r="K676" s="112"/>
      <c r="L676" s="112"/>
      <c r="M676" s="112"/>
      <c r="N676" s="112"/>
    </row>
    <row r="677" spans="1:14" s="8" customFormat="1" ht="17.25" customHeight="1">
      <c r="A677" s="141" t="s">
        <v>333</v>
      </c>
      <c r="B677" s="114"/>
      <c r="C677" s="114">
        <v>226</v>
      </c>
      <c r="D677" s="114">
        <v>800000000</v>
      </c>
      <c r="E677" s="114">
        <v>244</v>
      </c>
      <c r="F677" s="114">
        <v>226</v>
      </c>
      <c r="G677" s="121"/>
      <c r="H677" s="117">
        <f>I677+J677+K677+L677+M677+N677</f>
        <v>2187330.48</v>
      </c>
      <c r="I677" s="124">
        <f>SUM(I679:I687)</f>
        <v>1235315.9</v>
      </c>
      <c r="J677" s="124">
        <f>J679+J680+J681</f>
        <v>0</v>
      </c>
      <c r="K677" s="124">
        <f>K679+K680+K681</f>
        <v>0</v>
      </c>
      <c r="L677" s="124">
        <f>L679+L680+L681</f>
        <v>0</v>
      </c>
      <c r="M677" s="124">
        <f>M679+M689+M688</f>
        <v>952014.58</v>
      </c>
      <c r="N677" s="124">
        <f>N679+N680+N681</f>
        <v>0</v>
      </c>
    </row>
    <row r="678" spans="1:14" s="8" customFormat="1" ht="17.25" customHeight="1">
      <c r="A678" s="141" t="s">
        <v>4</v>
      </c>
      <c r="B678" s="114"/>
      <c r="C678" s="114"/>
      <c r="D678" s="114"/>
      <c r="E678" s="114"/>
      <c r="F678" s="114"/>
      <c r="G678" s="121"/>
      <c r="H678" s="117"/>
      <c r="I678" s="124"/>
      <c r="J678" s="124"/>
      <c r="K678" s="112"/>
      <c r="L678" s="112"/>
      <c r="M678" s="112"/>
      <c r="N678" s="112"/>
    </row>
    <row r="679" spans="1:14" s="8" customFormat="1" ht="17.25" customHeight="1">
      <c r="A679" s="141" t="s">
        <v>334</v>
      </c>
      <c r="B679" s="114"/>
      <c r="C679" s="114"/>
      <c r="D679" s="114"/>
      <c r="E679" s="114"/>
      <c r="F679" s="114"/>
      <c r="G679" s="121"/>
      <c r="H679" s="117">
        <f aca="true" t="shared" si="51" ref="H679:H690">I679+J679+K679+L679+M679+N679</f>
        <v>0</v>
      </c>
      <c r="I679" s="124"/>
      <c r="J679" s="124"/>
      <c r="K679" s="112"/>
      <c r="L679" s="112"/>
      <c r="M679" s="112"/>
      <c r="N679" s="112"/>
    </row>
    <row r="680" spans="1:14" s="8" customFormat="1" ht="28.5" customHeight="1">
      <c r="A680" s="141" t="s">
        <v>335</v>
      </c>
      <c r="B680" s="114"/>
      <c r="C680" s="114"/>
      <c r="D680" s="114"/>
      <c r="E680" s="114"/>
      <c r="F680" s="114"/>
      <c r="G680" s="121"/>
      <c r="H680" s="117">
        <f t="shared" si="51"/>
        <v>0</v>
      </c>
      <c r="I680" s="124"/>
      <c r="J680" s="124"/>
      <c r="K680" s="112"/>
      <c r="L680" s="112"/>
      <c r="M680" s="112"/>
      <c r="N680" s="112"/>
    </row>
    <row r="681" spans="1:14" s="8" customFormat="1" ht="17.25" customHeight="1">
      <c r="A681" s="141" t="s">
        <v>336</v>
      </c>
      <c r="B681" s="114"/>
      <c r="C681" s="114">
        <v>226</v>
      </c>
      <c r="D681" s="114">
        <v>800000000</v>
      </c>
      <c r="E681" s="114">
        <v>244</v>
      </c>
      <c r="F681" s="114">
        <v>226</v>
      </c>
      <c r="G681" s="101" t="s">
        <v>531</v>
      </c>
      <c r="H681" s="117">
        <f t="shared" si="51"/>
        <v>105269</v>
      </c>
      <c r="I681" s="124">
        <f>101269+4000</f>
        <v>105269</v>
      </c>
      <c r="J681" s="124"/>
      <c r="K681" s="112"/>
      <c r="L681" s="112"/>
      <c r="M681" s="112"/>
      <c r="N681" s="112"/>
    </row>
    <row r="682" spans="1:14" s="8" customFormat="1" ht="17.25" customHeight="1">
      <c r="A682" s="141" t="s">
        <v>336</v>
      </c>
      <c r="B682" s="114"/>
      <c r="C682" s="114">
        <v>226</v>
      </c>
      <c r="D682" s="114">
        <v>800000000</v>
      </c>
      <c r="E682" s="114">
        <v>244</v>
      </c>
      <c r="F682" s="114">
        <v>226</v>
      </c>
      <c r="G682" s="101" t="s">
        <v>532</v>
      </c>
      <c r="H682" s="117">
        <f t="shared" si="51"/>
        <v>351045.33999999997</v>
      </c>
      <c r="I682" s="124">
        <f>204187.9+146857.44</f>
        <v>351045.33999999997</v>
      </c>
      <c r="J682" s="124"/>
      <c r="K682" s="112"/>
      <c r="L682" s="112"/>
      <c r="M682" s="112"/>
      <c r="N682" s="112"/>
    </row>
    <row r="683" spans="1:14" s="8" customFormat="1" ht="17.25" customHeight="1" hidden="1">
      <c r="A683" s="141" t="s">
        <v>335</v>
      </c>
      <c r="B683" s="486"/>
      <c r="C683" s="488">
        <v>226</v>
      </c>
      <c r="D683" s="488">
        <v>800000000</v>
      </c>
      <c r="E683" s="488">
        <v>244</v>
      </c>
      <c r="F683" s="488">
        <v>226</v>
      </c>
      <c r="G683" s="492" t="s">
        <v>828</v>
      </c>
      <c r="H683" s="490">
        <f t="shared" si="51"/>
        <v>0</v>
      </c>
      <c r="I683" s="485"/>
      <c r="J683" s="124"/>
      <c r="K683" s="112"/>
      <c r="L683" s="112"/>
      <c r="M683" s="112"/>
      <c r="N683" s="112"/>
    </row>
    <row r="684" spans="1:14" s="8" customFormat="1" ht="17.25" customHeight="1">
      <c r="A684" s="141" t="s">
        <v>336</v>
      </c>
      <c r="B684" s="486"/>
      <c r="C684" s="488">
        <v>226</v>
      </c>
      <c r="D684" s="488">
        <v>800000000</v>
      </c>
      <c r="E684" s="488">
        <v>244</v>
      </c>
      <c r="F684" s="488">
        <v>226</v>
      </c>
      <c r="G684" s="489" t="s">
        <v>535</v>
      </c>
      <c r="H684" s="490">
        <f>I684+J684+K684+L684+M684+N684</f>
        <v>8000</v>
      </c>
      <c r="I684" s="485">
        <v>8000</v>
      </c>
      <c r="J684" s="124"/>
      <c r="K684" s="112"/>
      <c r="L684" s="112"/>
      <c r="M684" s="112"/>
      <c r="N684" s="112"/>
    </row>
    <row r="685" spans="1:14" s="8" customFormat="1" ht="17.25" customHeight="1" hidden="1">
      <c r="A685" s="141" t="s">
        <v>336</v>
      </c>
      <c r="B685" s="486"/>
      <c r="C685" s="488">
        <v>226</v>
      </c>
      <c r="D685" s="488">
        <v>800000000</v>
      </c>
      <c r="E685" s="488">
        <v>244</v>
      </c>
      <c r="F685" s="488">
        <v>226</v>
      </c>
      <c r="G685" s="489" t="s">
        <v>531</v>
      </c>
      <c r="H685" s="490">
        <f t="shared" si="51"/>
        <v>0</v>
      </c>
      <c r="I685" s="485"/>
      <c r="J685" s="124"/>
      <c r="K685" s="112"/>
      <c r="L685" s="112"/>
      <c r="M685" s="112"/>
      <c r="N685" s="112"/>
    </row>
    <row r="686" spans="1:14" s="8" customFormat="1" ht="17.25" customHeight="1">
      <c r="A686" s="141" t="s">
        <v>336</v>
      </c>
      <c r="B686" s="486"/>
      <c r="C686" s="486">
        <v>226</v>
      </c>
      <c r="D686" s="488">
        <v>800000000</v>
      </c>
      <c r="E686" s="486">
        <v>244</v>
      </c>
      <c r="F686" s="486">
        <v>226</v>
      </c>
      <c r="G686" s="492" t="s">
        <v>828</v>
      </c>
      <c r="H686" s="490">
        <f t="shared" si="51"/>
        <v>771001.56</v>
      </c>
      <c r="I686" s="485">
        <f>768001.56+3000</f>
        <v>771001.56</v>
      </c>
      <c r="J686" s="124"/>
      <c r="K686" s="112"/>
      <c r="L686" s="112"/>
      <c r="M686" s="112"/>
      <c r="N686" s="112"/>
    </row>
    <row r="687" spans="1:14" s="8" customFormat="1" ht="17.25" customHeight="1">
      <c r="A687" s="141" t="s">
        <v>336</v>
      </c>
      <c r="B687" s="486"/>
      <c r="C687" s="486">
        <v>226</v>
      </c>
      <c r="D687" s="488">
        <v>800000000</v>
      </c>
      <c r="E687" s="486">
        <v>244</v>
      </c>
      <c r="F687" s="486">
        <v>226</v>
      </c>
      <c r="G687" s="493" t="s">
        <v>532</v>
      </c>
      <c r="H687" s="490">
        <f t="shared" si="51"/>
        <v>0</v>
      </c>
      <c r="I687" s="485"/>
      <c r="J687" s="124"/>
      <c r="K687" s="112"/>
      <c r="L687" s="112"/>
      <c r="M687" s="112"/>
      <c r="N687" s="112"/>
    </row>
    <row r="688" spans="1:14" s="8" customFormat="1" ht="17.25" customHeight="1">
      <c r="A688" s="141" t="s">
        <v>336</v>
      </c>
      <c r="B688" s="114"/>
      <c r="C688" s="114">
        <v>226</v>
      </c>
      <c r="D688" s="115" t="s">
        <v>521</v>
      </c>
      <c r="E688" s="114">
        <v>244</v>
      </c>
      <c r="F688" s="114">
        <v>226</v>
      </c>
      <c r="G688" s="101" t="s">
        <v>533</v>
      </c>
      <c r="H688" s="117">
        <f t="shared" si="51"/>
        <v>952014.58</v>
      </c>
      <c r="I688" s="124">
        <v>0</v>
      </c>
      <c r="J688" s="124"/>
      <c r="K688" s="112"/>
      <c r="L688" s="112"/>
      <c r="M688" s="112">
        <f>774014.58+178000</f>
        <v>952014.58</v>
      </c>
      <c r="N688" s="112"/>
    </row>
    <row r="689" spans="1:14" s="8" customFormat="1" ht="17.25" customHeight="1" hidden="1">
      <c r="A689" s="141" t="s">
        <v>336</v>
      </c>
      <c r="B689" s="486"/>
      <c r="C689" s="486">
        <v>226</v>
      </c>
      <c r="D689" s="487" t="s">
        <v>521</v>
      </c>
      <c r="E689" s="486"/>
      <c r="F689" s="486">
        <v>226</v>
      </c>
      <c r="G689" s="493" t="s">
        <v>533</v>
      </c>
      <c r="H689" s="490">
        <f t="shared" si="51"/>
        <v>0</v>
      </c>
      <c r="I689" s="484">
        <v>0</v>
      </c>
      <c r="J689" s="484">
        <v>0</v>
      </c>
      <c r="K689" s="112">
        <v>0</v>
      </c>
      <c r="L689" s="112">
        <v>0</v>
      </c>
      <c r="M689" s="496"/>
      <c r="N689" s="112"/>
    </row>
    <row r="690" spans="1:14" s="8" customFormat="1" ht="17.25" customHeight="1">
      <c r="A690" s="141" t="s">
        <v>400</v>
      </c>
      <c r="B690" s="114"/>
      <c r="C690" s="114">
        <v>296</v>
      </c>
      <c r="D690" s="114"/>
      <c r="E690" s="114">
        <v>244</v>
      </c>
      <c r="F690" s="114">
        <v>296</v>
      </c>
      <c r="G690" s="121"/>
      <c r="H690" s="117">
        <f t="shared" si="51"/>
        <v>0</v>
      </c>
      <c r="I690" s="124"/>
      <c r="J690" s="124"/>
      <c r="K690" s="112"/>
      <c r="L690" s="112"/>
      <c r="M690" s="112"/>
      <c r="N690" s="112"/>
    </row>
    <row r="691" spans="1:14" s="8" customFormat="1" ht="17.25" customHeight="1">
      <c r="A691" s="135" t="s">
        <v>53</v>
      </c>
      <c r="B691" s="114">
        <v>300</v>
      </c>
      <c r="C691" s="114" t="s">
        <v>10</v>
      </c>
      <c r="D691" s="114"/>
      <c r="E691" s="114"/>
      <c r="F691" s="114" t="s">
        <v>10</v>
      </c>
      <c r="G691" s="121"/>
      <c r="H691" s="117">
        <f>H693+H694</f>
        <v>0</v>
      </c>
      <c r="I691" s="124">
        <f aca="true" t="shared" si="52" ref="I691:N691">I693+I694</f>
        <v>0</v>
      </c>
      <c r="J691" s="124">
        <f t="shared" si="52"/>
        <v>0</v>
      </c>
      <c r="K691" s="124">
        <f t="shared" si="52"/>
        <v>0</v>
      </c>
      <c r="L691" s="124">
        <f t="shared" si="52"/>
        <v>0</v>
      </c>
      <c r="M691" s="124">
        <f t="shared" si="52"/>
        <v>0</v>
      </c>
      <c r="N691" s="124">
        <f t="shared" si="52"/>
        <v>0</v>
      </c>
    </row>
    <row r="692" spans="1:14" s="8" customFormat="1" ht="14.25" customHeight="1">
      <c r="A692" s="135" t="s">
        <v>3</v>
      </c>
      <c r="B692" s="114"/>
      <c r="C692" s="147"/>
      <c r="D692" s="114"/>
      <c r="E692" s="114"/>
      <c r="F692" s="147"/>
      <c r="G692" s="148"/>
      <c r="H692" s="117"/>
      <c r="I692" s="124"/>
      <c r="J692" s="124"/>
      <c r="K692" s="112"/>
      <c r="L692" s="112"/>
      <c r="M692" s="112"/>
      <c r="N692" s="112"/>
    </row>
    <row r="693" spans="1:14" s="8" customFormat="1" ht="16.5" customHeight="1">
      <c r="A693" s="135" t="s">
        <v>54</v>
      </c>
      <c r="B693" s="143">
        <v>310</v>
      </c>
      <c r="C693" s="149"/>
      <c r="D693" s="143"/>
      <c r="E693" s="143"/>
      <c r="F693" s="149"/>
      <c r="G693" s="150"/>
      <c r="H693" s="117">
        <f>I693+J693+K693+L693+M693+N693</f>
        <v>0</v>
      </c>
      <c r="I693" s="124"/>
      <c r="J693" s="124"/>
      <c r="K693" s="112"/>
      <c r="L693" s="112"/>
      <c r="M693" s="112"/>
      <c r="N693" s="112"/>
    </row>
    <row r="694" spans="1:14" s="151" customFormat="1" ht="15" customHeight="1">
      <c r="A694" s="135" t="s">
        <v>55</v>
      </c>
      <c r="B694" s="114">
        <v>320</v>
      </c>
      <c r="C694" s="114"/>
      <c r="D694" s="114"/>
      <c r="E694" s="114"/>
      <c r="F694" s="114"/>
      <c r="G694" s="121"/>
      <c r="H694" s="117">
        <f>I694+J694+K694+L694+M694+N694</f>
        <v>0</v>
      </c>
      <c r="I694" s="124"/>
      <c r="J694" s="124"/>
      <c r="K694" s="112"/>
      <c r="L694" s="112"/>
      <c r="M694" s="112"/>
      <c r="N694" s="112"/>
    </row>
    <row r="695" spans="1:14" s="151" customFormat="1" ht="17.25" customHeight="1">
      <c r="A695" s="135" t="s">
        <v>56</v>
      </c>
      <c r="B695" s="114">
        <v>400</v>
      </c>
      <c r="C695" s="114"/>
      <c r="D695" s="114"/>
      <c r="E695" s="114"/>
      <c r="F695" s="114"/>
      <c r="G695" s="121"/>
      <c r="H695" s="117">
        <f>H697+H698</f>
        <v>0</v>
      </c>
      <c r="I695" s="124">
        <f aca="true" t="shared" si="53" ref="I695:N695">I697+I698</f>
        <v>0</v>
      </c>
      <c r="J695" s="124">
        <f t="shared" si="53"/>
        <v>0</v>
      </c>
      <c r="K695" s="124">
        <f t="shared" si="53"/>
        <v>0</v>
      </c>
      <c r="L695" s="124">
        <f t="shared" si="53"/>
        <v>0</v>
      </c>
      <c r="M695" s="124">
        <f t="shared" si="53"/>
        <v>0</v>
      </c>
      <c r="N695" s="124">
        <f t="shared" si="53"/>
        <v>0</v>
      </c>
    </row>
    <row r="696" spans="1:14" s="151" customFormat="1" ht="14.25" customHeight="1">
      <c r="A696" s="135" t="s">
        <v>3</v>
      </c>
      <c r="B696" s="114"/>
      <c r="C696" s="147"/>
      <c r="D696" s="114"/>
      <c r="E696" s="114"/>
      <c r="F696" s="147"/>
      <c r="G696" s="148"/>
      <c r="H696" s="117"/>
      <c r="I696" s="124"/>
      <c r="J696" s="124"/>
      <c r="K696" s="112"/>
      <c r="L696" s="112"/>
      <c r="M696" s="112"/>
      <c r="N696" s="112"/>
    </row>
    <row r="697" spans="1:14" s="151" customFormat="1" ht="15.75" customHeight="1">
      <c r="A697" s="135" t="s">
        <v>57</v>
      </c>
      <c r="B697" s="143">
        <v>410</v>
      </c>
      <c r="C697" s="149"/>
      <c r="D697" s="143"/>
      <c r="E697" s="143"/>
      <c r="F697" s="149"/>
      <c r="G697" s="150"/>
      <c r="H697" s="117">
        <f aca="true" t="shared" si="54" ref="H697:H707">I697+J697+K697+L697+M697+N697</f>
        <v>0</v>
      </c>
      <c r="I697" s="124"/>
      <c r="J697" s="124"/>
      <c r="K697" s="112"/>
      <c r="L697" s="112"/>
      <c r="M697" s="112"/>
      <c r="N697" s="112"/>
    </row>
    <row r="698" spans="1:14" s="151" customFormat="1" ht="13.5" customHeight="1">
      <c r="A698" s="135" t="s">
        <v>58</v>
      </c>
      <c r="B698" s="114">
        <v>420</v>
      </c>
      <c r="C698" s="114"/>
      <c r="D698" s="114"/>
      <c r="E698" s="114"/>
      <c r="F698" s="114"/>
      <c r="G698" s="121"/>
      <c r="H698" s="117">
        <f t="shared" si="54"/>
        <v>0</v>
      </c>
      <c r="I698" s="124"/>
      <c r="J698" s="124"/>
      <c r="K698" s="112"/>
      <c r="L698" s="112"/>
      <c r="M698" s="112"/>
      <c r="N698" s="112"/>
    </row>
    <row r="699" spans="1:14" s="151" customFormat="1" ht="28.5" customHeight="1">
      <c r="A699" s="135" t="s">
        <v>337</v>
      </c>
      <c r="B699" s="114">
        <v>500</v>
      </c>
      <c r="C699" s="114" t="s">
        <v>10</v>
      </c>
      <c r="D699" s="114"/>
      <c r="E699" s="114"/>
      <c r="F699" s="114" t="s">
        <v>10</v>
      </c>
      <c r="G699" s="121"/>
      <c r="H699" s="117">
        <f t="shared" si="54"/>
        <v>0</v>
      </c>
      <c r="I699" s="124">
        <f>I700+I701</f>
        <v>0</v>
      </c>
      <c r="J699" s="124">
        <f>J700+J701</f>
        <v>0</v>
      </c>
      <c r="K699" s="124">
        <f>K700+K701</f>
        <v>0</v>
      </c>
      <c r="L699" s="124">
        <f>L700+L701</f>
        <v>0</v>
      </c>
      <c r="M699" s="124">
        <f>M700+M701+M702+M703+M704+M705</f>
        <v>0</v>
      </c>
      <c r="N699" s="124">
        <f>N700+N701</f>
        <v>0</v>
      </c>
    </row>
    <row r="700" spans="1:14" s="151" customFormat="1" ht="18" customHeight="1">
      <c r="A700" s="135" t="s">
        <v>59</v>
      </c>
      <c r="B700" s="114"/>
      <c r="C700" s="114">
        <v>131</v>
      </c>
      <c r="D700" s="114">
        <v>800000000</v>
      </c>
      <c r="E700" s="114"/>
      <c r="F700" s="114">
        <v>131</v>
      </c>
      <c r="G700" s="101" t="s">
        <v>532</v>
      </c>
      <c r="H700" s="117">
        <f t="shared" si="54"/>
        <v>0</v>
      </c>
      <c r="I700" s="152">
        <v>0</v>
      </c>
      <c r="J700" s="124"/>
      <c r="K700" s="112"/>
      <c r="L700" s="112"/>
      <c r="M700" s="112"/>
      <c r="N700" s="112"/>
    </row>
    <row r="701" spans="1:14" s="151" customFormat="1" ht="18" customHeight="1">
      <c r="A701" s="135" t="s">
        <v>59</v>
      </c>
      <c r="B701" s="114"/>
      <c r="C701" s="114">
        <v>152</v>
      </c>
      <c r="D701" s="114">
        <v>901480000</v>
      </c>
      <c r="E701" s="114"/>
      <c r="F701" s="114">
        <v>152</v>
      </c>
      <c r="G701" s="121" t="s">
        <v>535</v>
      </c>
      <c r="H701" s="117">
        <f t="shared" si="54"/>
        <v>0</v>
      </c>
      <c r="I701" s="152">
        <v>0</v>
      </c>
      <c r="J701" s="124"/>
      <c r="K701" s="112"/>
      <c r="L701" s="112"/>
      <c r="M701" s="112"/>
      <c r="N701" s="112"/>
    </row>
    <row r="702" spans="1:14" s="151" customFormat="1" ht="18" customHeight="1">
      <c r="A702" s="135" t="s">
        <v>59</v>
      </c>
      <c r="B702" s="114"/>
      <c r="C702" s="114">
        <v>121</v>
      </c>
      <c r="D702" s="115" t="s">
        <v>521</v>
      </c>
      <c r="E702" s="114"/>
      <c r="F702" s="114">
        <v>121</v>
      </c>
      <c r="G702" s="101" t="s">
        <v>533</v>
      </c>
      <c r="H702" s="117">
        <f t="shared" si="54"/>
        <v>0</v>
      </c>
      <c r="I702" s="152">
        <v>0</v>
      </c>
      <c r="J702" s="124"/>
      <c r="K702" s="112"/>
      <c r="L702" s="112"/>
      <c r="M702" s="112"/>
      <c r="N702" s="112"/>
    </row>
    <row r="703" spans="1:14" s="151" customFormat="1" ht="18" customHeight="1">
      <c r="A703" s="135" t="s">
        <v>59</v>
      </c>
      <c r="B703" s="114"/>
      <c r="C703" s="114">
        <v>131</v>
      </c>
      <c r="D703" s="115" t="s">
        <v>521</v>
      </c>
      <c r="E703" s="114"/>
      <c r="F703" s="114">
        <v>131</v>
      </c>
      <c r="G703" s="101" t="s">
        <v>533</v>
      </c>
      <c r="H703" s="117">
        <f t="shared" si="54"/>
        <v>0</v>
      </c>
      <c r="I703" s="152">
        <v>0</v>
      </c>
      <c r="J703" s="124"/>
      <c r="K703" s="112"/>
      <c r="L703" s="112"/>
      <c r="M703" s="112"/>
      <c r="N703" s="112"/>
    </row>
    <row r="704" spans="1:14" s="151" customFormat="1" ht="18" customHeight="1">
      <c r="A704" s="135" t="s">
        <v>59</v>
      </c>
      <c r="B704" s="114"/>
      <c r="C704" s="114">
        <v>135</v>
      </c>
      <c r="D704" s="115" t="s">
        <v>521</v>
      </c>
      <c r="E704" s="114"/>
      <c r="F704" s="114">
        <v>135</v>
      </c>
      <c r="G704" s="101" t="s">
        <v>533</v>
      </c>
      <c r="H704" s="117">
        <f t="shared" si="54"/>
        <v>0</v>
      </c>
      <c r="I704" s="152">
        <v>0</v>
      </c>
      <c r="J704" s="124"/>
      <c r="K704" s="112"/>
      <c r="L704" s="112"/>
      <c r="M704" s="112"/>
      <c r="N704" s="112"/>
    </row>
    <row r="705" spans="1:14" s="151" customFormat="1" ht="18" customHeight="1">
      <c r="A705" s="135" t="s">
        <v>59</v>
      </c>
      <c r="B705" s="114"/>
      <c r="C705" s="114">
        <v>189</v>
      </c>
      <c r="D705" s="115" t="s">
        <v>521</v>
      </c>
      <c r="E705" s="114"/>
      <c r="F705" s="114">
        <v>189</v>
      </c>
      <c r="G705" s="101" t="s">
        <v>533</v>
      </c>
      <c r="H705" s="117">
        <f t="shared" si="54"/>
        <v>0</v>
      </c>
      <c r="I705" s="152">
        <v>0</v>
      </c>
      <c r="J705" s="124"/>
      <c r="K705" s="112"/>
      <c r="L705" s="112"/>
      <c r="M705" s="112"/>
      <c r="N705" s="112"/>
    </row>
    <row r="706" spans="1:14" s="151" customFormat="1" ht="18" customHeight="1">
      <c r="A706" s="135" t="s">
        <v>60</v>
      </c>
      <c r="B706" s="114">
        <v>600</v>
      </c>
      <c r="C706" s="114" t="s">
        <v>10</v>
      </c>
      <c r="D706" s="114"/>
      <c r="E706" s="114"/>
      <c r="F706" s="114" t="s">
        <v>10</v>
      </c>
      <c r="G706" s="121"/>
      <c r="H706" s="117">
        <f t="shared" si="54"/>
        <v>0</v>
      </c>
      <c r="I706" s="117">
        <f>I506-I568</f>
        <v>0</v>
      </c>
      <c r="J706" s="117">
        <f>J506-J568</f>
        <v>0</v>
      </c>
      <c r="K706" s="117"/>
      <c r="L706" s="117"/>
      <c r="M706" s="117">
        <f>M506-M568</f>
        <v>0</v>
      </c>
      <c r="N706" s="119"/>
    </row>
    <row r="707" spans="1:14" s="151" customFormat="1" ht="18" customHeight="1">
      <c r="A707" s="135" t="s">
        <v>60</v>
      </c>
      <c r="B707" s="114">
        <v>600</v>
      </c>
      <c r="C707" s="114" t="s">
        <v>10</v>
      </c>
      <c r="D707" s="114"/>
      <c r="E707" s="114"/>
      <c r="F707" s="114" t="s">
        <v>10</v>
      </c>
      <c r="G707" s="121"/>
      <c r="H707" s="117">
        <f t="shared" si="54"/>
        <v>0</v>
      </c>
      <c r="I707" s="117">
        <f>I506-I568</f>
        <v>0</v>
      </c>
      <c r="J707" s="117">
        <f>J506-J568</f>
        <v>0</v>
      </c>
      <c r="K707" s="117"/>
      <c r="L707" s="117"/>
      <c r="M707" s="117">
        <f>M506-M568</f>
        <v>0</v>
      </c>
      <c r="N707" s="119"/>
    </row>
    <row r="708" spans="1:14" ht="15">
      <c r="A708" s="38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</row>
  </sheetData>
  <sheetProtection/>
  <mergeCells count="53">
    <mergeCell ref="J503:J504"/>
    <mergeCell ref="C6:C9"/>
    <mergeCell ref="C291:C294"/>
    <mergeCell ref="C501:C504"/>
    <mergeCell ref="G6:G9"/>
    <mergeCell ref="H6:N6"/>
    <mergeCell ref="H7:H9"/>
    <mergeCell ref="M8:N8"/>
    <mergeCell ref="I7:N7"/>
    <mergeCell ref="I8:I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G291:G294"/>
    <mergeCell ref="H291:N291"/>
    <mergeCell ref="H292:H294"/>
    <mergeCell ref="K8:K9"/>
    <mergeCell ref="I292:N292"/>
    <mergeCell ref="I293:I294"/>
    <mergeCell ref="K293:K294"/>
    <mergeCell ref="I502:N502"/>
    <mergeCell ref="H287:K287"/>
    <mergeCell ref="H288:K288"/>
    <mergeCell ref="H289:K289"/>
    <mergeCell ref="A291:A294"/>
    <mergeCell ref="B291:B294"/>
    <mergeCell ref="D291:D294"/>
    <mergeCell ref="E291:E294"/>
    <mergeCell ref="J293:J294"/>
    <mergeCell ref="F291:F294"/>
    <mergeCell ref="A501:A504"/>
    <mergeCell ref="B501:B504"/>
    <mergeCell ref="D501:D504"/>
    <mergeCell ref="E501:E504"/>
    <mergeCell ref="F501:F504"/>
    <mergeCell ref="G501:G504"/>
    <mergeCell ref="K503:K504"/>
    <mergeCell ref="L503:L504"/>
    <mergeCell ref="M503:N503"/>
    <mergeCell ref="L293:L294"/>
    <mergeCell ref="M293:N293"/>
    <mergeCell ref="H498:K498"/>
    <mergeCell ref="H499:K499"/>
    <mergeCell ref="H501:N501"/>
    <mergeCell ref="H502:H504"/>
    <mergeCell ref="I503:I504"/>
  </mergeCells>
  <printOptions/>
  <pageMargins left="0.2755905511811024" right="0" top="0.35433070866141736" bottom="0.15748031496062992" header="0.15748031496062992" footer="0.2362204724409449"/>
  <pageSetup fitToHeight="0" fitToWidth="1" horizontalDpi="600" verticalDpi="600" orientation="portrait" paperSize="9" scale="62" r:id="rId1"/>
  <rowBreaks count="11" manualBreakCount="11">
    <brk id="56" max="13" man="1"/>
    <brk id="92" max="13" man="1"/>
    <brk id="128" max="13" man="1"/>
    <brk id="174" max="13" man="1"/>
    <brk id="264" max="13" man="1"/>
    <brk id="285" max="13" man="1"/>
    <brk id="348" max="13" man="1"/>
    <brk id="413" max="13" man="1"/>
    <brk id="495" max="13" man="1"/>
    <brk id="555" max="13" man="1"/>
    <brk id="6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1">
      <selection activeCell="B1" sqref="B1:E16384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5" t="s">
        <v>221</v>
      </c>
      <c r="C3" s="55" t="s">
        <v>1</v>
      </c>
      <c r="D3" s="55" t="s">
        <v>168</v>
      </c>
      <c r="E3" s="55" t="s">
        <v>172</v>
      </c>
    </row>
    <row r="4" spans="2:5" ht="38.25">
      <c r="B4" s="80" t="s">
        <v>408</v>
      </c>
      <c r="C4" s="86" t="s">
        <v>171</v>
      </c>
      <c r="D4" s="84" t="s">
        <v>169</v>
      </c>
      <c r="E4" s="54" t="s">
        <v>420</v>
      </c>
    </row>
    <row r="5" spans="2:5" ht="76.5">
      <c r="B5" s="80" t="s">
        <v>409</v>
      </c>
      <c r="C5" s="86" t="s">
        <v>170</v>
      </c>
      <c r="D5" s="84" t="s">
        <v>169</v>
      </c>
      <c r="E5" s="54" t="s">
        <v>339</v>
      </c>
    </row>
    <row r="6" spans="2:5" ht="63.75">
      <c r="B6" s="80" t="s">
        <v>412</v>
      </c>
      <c r="C6" s="86" t="s">
        <v>173</v>
      </c>
      <c r="D6" s="84" t="s">
        <v>169</v>
      </c>
      <c r="E6" s="54" t="s">
        <v>174</v>
      </c>
    </row>
    <row r="7" spans="2:5" ht="80.25" customHeight="1">
      <c r="B7" s="80" t="s">
        <v>413</v>
      </c>
      <c r="C7" s="86" t="s">
        <v>175</v>
      </c>
      <c r="D7" s="84" t="s">
        <v>176</v>
      </c>
      <c r="E7" s="54" t="s">
        <v>174</v>
      </c>
    </row>
    <row r="8" spans="2:5" ht="76.5">
      <c r="B8" s="80" t="s">
        <v>414</v>
      </c>
      <c r="C8" s="86" t="s">
        <v>177</v>
      </c>
      <c r="D8" s="84" t="s">
        <v>176</v>
      </c>
      <c r="E8" s="54" t="s">
        <v>178</v>
      </c>
    </row>
    <row r="9" spans="2:5" ht="25.5">
      <c r="B9" s="80" t="s">
        <v>411</v>
      </c>
      <c r="C9" s="86" t="s">
        <v>465</v>
      </c>
      <c r="D9" s="84" t="s">
        <v>479</v>
      </c>
      <c r="E9" s="54" t="s">
        <v>179</v>
      </c>
    </row>
    <row r="10" spans="2:5" ht="38.25">
      <c r="B10" s="80" t="s">
        <v>410</v>
      </c>
      <c r="C10" s="86" t="s">
        <v>180</v>
      </c>
      <c r="D10" s="84" t="s">
        <v>169</v>
      </c>
      <c r="E10" s="54" t="s">
        <v>181</v>
      </c>
    </row>
    <row r="11" spans="2:5" ht="102">
      <c r="B11" s="80" t="s">
        <v>415</v>
      </c>
      <c r="C11" s="86" t="s">
        <v>171</v>
      </c>
      <c r="D11" s="84" t="s">
        <v>186</v>
      </c>
      <c r="E11" s="54" t="s">
        <v>341</v>
      </c>
    </row>
    <row r="12" spans="2:5" ht="76.5">
      <c r="B12" s="80" t="s">
        <v>416</v>
      </c>
      <c r="C12" s="86" t="s">
        <v>170</v>
      </c>
      <c r="D12" s="84" t="s">
        <v>183</v>
      </c>
      <c r="E12" s="54" t="s">
        <v>340</v>
      </c>
    </row>
    <row r="13" spans="2:5" ht="216.75">
      <c r="B13" s="80" t="s">
        <v>417</v>
      </c>
      <c r="C13" s="87" t="s">
        <v>184</v>
      </c>
      <c r="D13" s="84" t="s">
        <v>185</v>
      </c>
      <c r="E13" s="54" t="s">
        <v>187</v>
      </c>
    </row>
    <row r="14" spans="2:5" ht="217.5" customHeight="1">
      <c r="B14" s="80" t="s">
        <v>418</v>
      </c>
      <c r="C14" s="87" t="s">
        <v>184</v>
      </c>
      <c r="D14" s="84" t="s">
        <v>185</v>
      </c>
      <c r="E14" s="54" t="s">
        <v>187</v>
      </c>
    </row>
    <row r="15" spans="2:5" ht="76.5">
      <c r="B15" s="80" t="s">
        <v>468</v>
      </c>
      <c r="C15" s="85" t="s">
        <v>188</v>
      </c>
      <c r="D15" s="84" t="s">
        <v>189</v>
      </c>
      <c r="E15" s="54" t="s">
        <v>222</v>
      </c>
    </row>
    <row r="16" spans="2:5" ht="25.5">
      <c r="B16" s="80" t="s">
        <v>459</v>
      </c>
      <c r="C16" s="85" t="s">
        <v>460</v>
      </c>
      <c r="D16" s="84" t="s">
        <v>461</v>
      </c>
      <c r="E16" s="54" t="s">
        <v>462</v>
      </c>
    </row>
    <row r="17" spans="2:5" ht="38.25">
      <c r="B17" s="80" t="s">
        <v>463</v>
      </c>
      <c r="C17" s="86" t="s">
        <v>190</v>
      </c>
      <c r="D17" s="84" t="s">
        <v>182</v>
      </c>
      <c r="E17" s="54" t="s">
        <v>192</v>
      </c>
    </row>
    <row r="18" spans="2:5" ht="76.5">
      <c r="B18" s="80" t="s">
        <v>464</v>
      </c>
      <c r="C18" s="86" t="s">
        <v>191</v>
      </c>
      <c r="D18" s="84" t="s">
        <v>182</v>
      </c>
      <c r="E18" s="54" t="s">
        <v>193</v>
      </c>
    </row>
    <row r="19" spans="2:5" ht="63.75">
      <c r="B19" s="80" t="s">
        <v>209</v>
      </c>
      <c r="C19" s="85" t="s">
        <v>170</v>
      </c>
      <c r="D19" s="84" t="s">
        <v>354</v>
      </c>
      <c r="E19" s="54" t="s">
        <v>355</v>
      </c>
    </row>
    <row r="20" spans="2:5" ht="25.5">
      <c r="B20" s="80" t="s">
        <v>198</v>
      </c>
      <c r="C20" s="85" t="s">
        <v>195</v>
      </c>
      <c r="D20" s="84" t="s">
        <v>194</v>
      </c>
      <c r="E20" s="54" t="s">
        <v>197</v>
      </c>
    </row>
    <row r="21" spans="2:5" ht="25.5">
      <c r="B21" s="80" t="s">
        <v>466</v>
      </c>
      <c r="C21" s="85" t="s">
        <v>196</v>
      </c>
      <c r="D21" s="84" t="s">
        <v>194</v>
      </c>
      <c r="E21" s="54" t="s">
        <v>197</v>
      </c>
    </row>
    <row r="22" spans="2:5" ht="81.75" customHeight="1">
      <c r="B22" s="80" t="s">
        <v>467</v>
      </c>
      <c r="C22" s="85" t="s">
        <v>170</v>
      </c>
      <c r="D22" s="84" t="s">
        <v>223</v>
      </c>
      <c r="E22" s="86" t="s">
        <v>201</v>
      </c>
    </row>
    <row r="23" spans="2:5" ht="63.75">
      <c r="B23" s="80" t="s">
        <v>470</v>
      </c>
      <c r="C23" s="86" t="s">
        <v>170</v>
      </c>
      <c r="D23" s="84" t="s">
        <v>469</v>
      </c>
      <c r="E23" s="86" t="s">
        <v>199</v>
      </c>
    </row>
    <row r="24" spans="2:5" ht="51">
      <c r="B24" s="80" t="s">
        <v>476</v>
      </c>
      <c r="C24" s="86" t="s">
        <v>202</v>
      </c>
      <c r="D24" s="84" t="s">
        <v>223</v>
      </c>
      <c r="E24" s="54" t="s">
        <v>285</v>
      </c>
    </row>
    <row r="25" spans="2:5" ht="38.25">
      <c r="B25" s="80" t="s">
        <v>419</v>
      </c>
      <c r="C25" s="86" t="s">
        <v>204</v>
      </c>
      <c r="D25" s="84" t="s">
        <v>176</v>
      </c>
      <c r="E25" s="54" t="s">
        <v>283</v>
      </c>
    </row>
    <row r="26" spans="2:5" ht="45.75" customHeight="1">
      <c r="B26" s="80" t="s">
        <v>477</v>
      </c>
      <c r="C26" s="86" t="s">
        <v>203</v>
      </c>
      <c r="D26" s="84" t="s">
        <v>223</v>
      </c>
      <c r="E26" s="54" t="s">
        <v>284</v>
      </c>
    </row>
    <row r="27" spans="2:5" ht="38.25">
      <c r="B27" s="80" t="s">
        <v>478</v>
      </c>
      <c r="C27" s="86" t="s">
        <v>205</v>
      </c>
      <c r="D27" s="84" t="s">
        <v>182</v>
      </c>
      <c r="E27" s="54" t="s">
        <v>286</v>
      </c>
    </row>
    <row r="28" spans="2:5" ht="51">
      <c r="B28" s="80" t="s">
        <v>471</v>
      </c>
      <c r="C28" s="86" t="s">
        <v>206</v>
      </c>
      <c r="D28" s="84" t="s">
        <v>176</v>
      </c>
      <c r="E28" s="54" t="s">
        <v>207</v>
      </c>
    </row>
    <row r="29" spans="2:5" ht="51">
      <c r="B29" s="184" t="s">
        <v>472</v>
      </c>
      <c r="C29" s="86" t="s">
        <v>206</v>
      </c>
      <c r="D29" s="84" t="s">
        <v>176</v>
      </c>
      <c r="E29" s="54" t="s">
        <v>208</v>
      </c>
    </row>
    <row r="30" spans="2:5" ht="89.25">
      <c r="B30" s="80" t="s">
        <v>480</v>
      </c>
      <c r="C30" s="87" t="s">
        <v>212</v>
      </c>
      <c r="D30" s="84" t="s">
        <v>182</v>
      </c>
      <c r="E30" s="54" t="s">
        <v>213</v>
      </c>
    </row>
    <row r="31" spans="2:5" ht="38.25">
      <c r="B31" s="184" t="s">
        <v>481</v>
      </c>
      <c r="C31" s="86" t="s">
        <v>214</v>
      </c>
      <c r="D31" s="84" t="s">
        <v>194</v>
      </c>
      <c r="E31" s="54" t="s">
        <v>215</v>
      </c>
    </row>
    <row r="32" spans="2:5" ht="51">
      <c r="B32" s="184" t="s">
        <v>482</v>
      </c>
      <c r="C32" s="86" t="s">
        <v>216</v>
      </c>
      <c r="D32" s="84" t="s">
        <v>182</v>
      </c>
      <c r="E32" s="54" t="s">
        <v>217</v>
      </c>
    </row>
    <row r="33" spans="2:5" ht="38.25">
      <c r="B33" s="184" t="s">
        <v>483</v>
      </c>
      <c r="C33" s="86" t="s">
        <v>218</v>
      </c>
      <c r="D33" s="84" t="s">
        <v>182</v>
      </c>
      <c r="E33" s="54" t="s">
        <v>219</v>
      </c>
    </row>
    <row r="34" spans="2:5" ht="63.75">
      <c r="B34" s="80" t="s">
        <v>484</v>
      </c>
      <c r="C34" s="86" t="s">
        <v>170</v>
      </c>
      <c r="D34" s="84" t="s">
        <v>194</v>
      </c>
      <c r="E34" s="54" t="s">
        <v>220</v>
      </c>
    </row>
    <row r="35" spans="2:5" ht="38.25">
      <c r="B35" s="184" t="s">
        <v>485</v>
      </c>
      <c r="C35" s="86" t="s">
        <v>171</v>
      </c>
      <c r="D35" s="84" t="s">
        <v>182</v>
      </c>
      <c r="E35" s="54" t="s">
        <v>224</v>
      </c>
    </row>
    <row r="36" spans="2:5" ht="25.5">
      <c r="B36" s="84" t="s">
        <v>473</v>
      </c>
      <c r="C36" s="85" t="s">
        <v>474</v>
      </c>
      <c r="D36" s="88"/>
      <c r="E36" s="54" t="s">
        <v>475</v>
      </c>
    </row>
    <row r="37" spans="2:5" ht="38.25">
      <c r="B37" s="84" t="s">
        <v>458</v>
      </c>
      <c r="C37" s="85" t="s">
        <v>200</v>
      </c>
      <c r="D37" s="88"/>
      <c r="E37" s="54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1">
      <selection activeCell="B1" sqref="B1:C16384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7" t="s">
        <v>163</v>
      </c>
      <c r="C3" s="57" t="s">
        <v>237</v>
      </c>
    </row>
    <row r="4" spans="2:3" ht="15">
      <c r="B4" s="50">
        <v>0</v>
      </c>
      <c r="C4" s="60" t="s">
        <v>227</v>
      </c>
    </row>
    <row r="5" spans="2:3" ht="15">
      <c r="B5" s="50">
        <v>80000</v>
      </c>
      <c r="C5" s="59" t="s">
        <v>226</v>
      </c>
    </row>
    <row r="6" spans="2:5" ht="15">
      <c r="B6" s="57">
        <v>90100</v>
      </c>
      <c r="C6" s="58" t="s">
        <v>225</v>
      </c>
      <c r="D6" s="56"/>
      <c r="E6" s="56"/>
    </row>
    <row r="7" spans="2:3" ht="15">
      <c r="B7" s="183">
        <v>901010000</v>
      </c>
      <c r="C7" s="59" t="s">
        <v>228</v>
      </c>
    </row>
    <row r="8" spans="2:3" ht="15">
      <c r="B8" s="183">
        <v>901020000</v>
      </c>
      <c r="C8" s="59" t="s">
        <v>229</v>
      </c>
    </row>
    <row r="9" spans="2:3" ht="15">
      <c r="B9" s="183">
        <v>901030000</v>
      </c>
      <c r="C9" s="59" t="s">
        <v>230</v>
      </c>
    </row>
    <row r="10" spans="2:3" ht="15">
      <c r="B10" s="183">
        <v>901040000</v>
      </c>
      <c r="C10" s="59" t="s">
        <v>231</v>
      </c>
    </row>
    <row r="11" spans="2:3" ht="15">
      <c r="B11" s="183">
        <v>901050000</v>
      </c>
      <c r="C11" s="59" t="s">
        <v>232</v>
      </c>
    </row>
    <row r="12" spans="2:3" ht="30">
      <c r="B12" s="50">
        <v>901060000</v>
      </c>
      <c r="C12" s="59" t="s">
        <v>421</v>
      </c>
    </row>
    <row r="13" spans="2:3" ht="30">
      <c r="B13" s="50">
        <v>901070000</v>
      </c>
      <c r="C13" s="59" t="s">
        <v>233</v>
      </c>
    </row>
    <row r="14" spans="2:3" ht="15">
      <c r="B14" s="50">
        <v>901100000</v>
      </c>
      <c r="C14" s="59" t="s">
        <v>422</v>
      </c>
    </row>
    <row r="15" spans="2:3" ht="15">
      <c r="B15" s="183">
        <v>901140000</v>
      </c>
      <c r="C15" s="59" t="s">
        <v>234</v>
      </c>
    </row>
    <row r="16" spans="2:3" ht="15">
      <c r="B16" s="183">
        <v>901150000</v>
      </c>
      <c r="C16" s="59" t="s">
        <v>235</v>
      </c>
    </row>
    <row r="17" spans="2:3" ht="15">
      <c r="B17" s="183">
        <v>901160000</v>
      </c>
      <c r="C17" s="59" t="s">
        <v>236</v>
      </c>
    </row>
    <row r="18" spans="2:3" ht="30">
      <c r="B18" s="183">
        <v>901170000</v>
      </c>
      <c r="C18" s="59" t="s">
        <v>238</v>
      </c>
    </row>
    <row r="19" spans="2:3" ht="45">
      <c r="B19" s="50">
        <v>901180000</v>
      </c>
      <c r="C19" s="59" t="s">
        <v>239</v>
      </c>
    </row>
    <row r="20" spans="2:3" ht="15">
      <c r="B20" s="50">
        <v>901190000</v>
      </c>
      <c r="C20" s="59" t="s">
        <v>240</v>
      </c>
    </row>
    <row r="21" spans="2:3" ht="15">
      <c r="B21" s="50">
        <v>901200000</v>
      </c>
      <c r="C21" s="59" t="s">
        <v>423</v>
      </c>
    </row>
    <row r="22" spans="2:3" ht="15">
      <c r="B22" s="50">
        <v>901210000</v>
      </c>
      <c r="C22" s="59" t="s">
        <v>241</v>
      </c>
    </row>
    <row r="23" spans="2:3" ht="30">
      <c r="B23" s="50">
        <v>901220000</v>
      </c>
      <c r="C23" s="59" t="s">
        <v>242</v>
      </c>
    </row>
    <row r="24" spans="2:3" ht="30">
      <c r="B24" s="50">
        <v>901230000</v>
      </c>
      <c r="C24" s="59" t="s">
        <v>243</v>
      </c>
    </row>
    <row r="25" spans="2:3" ht="15">
      <c r="B25" s="50">
        <v>901240000</v>
      </c>
      <c r="C25" s="59" t="s">
        <v>244</v>
      </c>
    </row>
    <row r="26" spans="2:3" ht="15">
      <c r="B26" s="50">
        <v>901250000</v>
      </c>
      <c r="C26" s="59" t="s">
        <v>245</v>
      </c>
    </row>
    <row r="27" spans="2:3" ht="15">
      <c r="B27" s="50">
        <v>901260000</v>
      </c>
      <c r="C27" s="59" t="s">
        <v>246</v>
      </c>
    </row>
    <row r="28" spans="2:3" ht="15">
      <c r="B28" s="50">
        <v>901270000</v>
      </c>
      <c r="C28" s="59" t="s">
        <v>247</v>
      </c>
    </row>
    <row r="29" spans="2:3" ht="15">
      <c r="B29" s="50">
        <v>901300000</v>
      </c>
      <c r="C29" s="59" t="s">
        <v>248</v>
      </c>
    </row>
    <row r="30" spans="2:3" ht="15">
      <c r="B30" s="50">
        <v>901310000</v>
      </c>
      <c r="C30" s="59" t="s">
        <v>249</v>
      </c>
    </row>
    <row r="31" spans="2:3" ht="30">
      <c r="B31" s="50">
        <v>9013200000</v>
      </c>
      <c r="C31" s="59" t="s">
        <v>250</v>
      </c>
    </row>
    <row r="32" spans="2:3" ht="15">
      <c r="B32" s="50">
        <v>9013300000</v>
      </c>
      <c r="C32" s="59" t="s">
        <v>424</v>
      </c>
    </row>
    <row r="33" spans="2:3" ht="14.25" customHeight="1">
      <c r="B33" s="50">
        <v>9013600000</v>
      </c>
      <c r="C33" s="59" t="s">
        <v>251</v>
      </c>
    </row>
    <row r="34" spans="2:3" ht="15">
      <c r="B34" s="50">
        <v>9013700000</v>
      </c>
      <c r="C34" s="59" t="s">
        <v>252</v>
      </c>
    </row>
    <row r="35" spans="2:3" ht="15">
      <c r="B35" s="50">
        <v>9013900000</v>
      </c>
      <c r="C35" s="59" t="s">
        <v>253</v>
      </c>
    </row>
    <row r="36" spans="2:3" ht="30">
      <c r="B36" s="50">
        <v>9014200000</v>
      </c>
      <c r="C36" s="59" t="s">
        <v>254</v>
      </c>
    </row>
    <row r="37" spans="2:3" ht="30">
      <c r="B37" s="50">
        <v>9014400000</v>
      </c>
      <c r="C37" s="59" t="s">
        <v>255</v>
      </c>
    </row>
    <row r="38" spans="2:3" ht="15">
      <c r="B38" s="50">
        <v>9014700000</v>
      </c>
      <c r="C38" s="59" t="s">
        <v>256</v>
      </c>
    </row>
    <row r="39" spans="2:3" ht="15">
      <c r="B39" s="50">
        <v>9014800000</v>
      </c>
      <c r="C39" s="59" t="s">
        <v>257</v>
      </c>
    </row>
    <row r="40" spans="2:3" ht="15">
      <c r="B40" s="50">
        <v>9014900000</v>
      </c>
      <c r="C40" s="59" t="s">
        <v>258</v>
      </c>
    </row>
    <row r="41" spans="2:3" ht="15">
      <c r="B41" s="50">
        <v>9015200000</v>
      </c>
      <c r="C41" s="59" t="s">
        <v>259</v>
      </c>
    </row>
    <row r="42" spans="2:3" ht="30">
      <c r="B42" s="50">
        <v>9015400000</v>
      </c>
      <c r="C42" s="59" t="s">
        <v>260</v>
      </c>
    </row>
    <row r="43" spans="2:3" ht="15">
      <c r="B43" s="50">
        <v>9015600000</v>
      </c>
      <c r="C43" s="59" t="s">
        <v>261</v>
      </c>
    </row>
    <row r="44" spans="2:3" ht="15">
      <c r="B44" s="50">
        <v>9016900000</v>
      </c>
      <c r="C44" s="59" t="s">
        <v>262</v>
      </c>
    </row>
    <row r="45" spans="2:3" ht="30">
      <c r="B45" s="50">
        <v>9017100000</v>
      </c>
      <c r="C45" s="59" t="s">
        <v>263</v>
      </c>
    </row>
    <row r="46" spans="2:3" ht="30">
      <c r="B46" s="50">
        <v>901720000</v>
      </c>
      <c r="C46" s="59" t="s">
        <v>264</v>
      </c>
    </row>
    <row r="47" spans="2:3" ht="15">
      <c r="B47" s="50">
        <v>901730000</v>
      </c>
      <c r="C47" s="59" t="s">
        <v>265</v>
      </c>
    </row>
    <row r="48" spans="2:3" ht="15">
      <c r="B48" s="50">
        <v>901750000</v>
      </c>
      <c r="C48" s="59" t="s">
        <v>266</v>
      </c>
    </row>
    <row r="49" spans="2:3" ht="30">
      <c r="B49" s="50">
        <v>901760000</v>
      </c>
      <c r="C49" s="59" t="s">
        <v>267</v>
      </c>
    </row>
    <row r="50" spans="2:3" ht="45">
      <c r="B50" s="50">
        <v>901770000</v>
      </c>
      <c r="C50" s="59" t="s">
        <v>268</v>
      </c>
    </row>
    <row r="51" spans="2:3" ht="15">
      <c r="B51" s="50">
        <v>901790000</v>
      </c>
      <c r="C51" s="59" t="s">
        <v>269</v>
      </c>
    </row>
    <row r="52" spans="2:3" ht="15">
      <c r="B52" s="50">
        <v>901800000</v>
      </c>
      <c r="C52" s="59" t="s">
        <v>270</v>
      </c>
    </row>
    <row r="53" spans="2:3" ht="30">
      <c r="B53" s="50">
        <v>901810000</v>
      </c>
      <c r="C53" s="59" t="s">
        <v>271</v>
      </c>
    </row>
    <row r="54" spans="2:3" ht="15">
      <c r="B54" s="50">
        <v>901820000</v>
      </c>
      <c r="C54" s="59" t="s">
        <v>272</v>
      </c>
    </row>
    <row r="55" spans="2:3" ht="15">
      <c r="B55" s="50">
        <v>901830000</v>
      </c>
      <c r="C55" s="59" t="s">
        <v>273</v>
      </c>
    </row>
    <row r="56" spans="2:3" ht="30">
      <c r="B56" s="50">
        <v>901870000</v>
      </c>
      <c r="C56" s="59" t="s">
        <v>274</v>
      </c>
    </row>
    <row r="57" spans="2:3" ht="15">
      <c r="B57" s="50">
        <v>901880000</v>
      </c>
      <c r="C57" s="59" t="s">
        <v>275</v>
      </c>
    </row>
    <row r="58" spans="2:3" ht="15">
      <c r="B58" s="50">
        <v>901890000</v>
      </c>
      <c r="C58" s="59" t="s">
        <v>276</v>
      </c>
    </row>
    <row r="59" spans="2:3" ht="15">
      <c r="B59" s="50">
        <v>901900000</v>
      </c>
      <c r="C59" s="59" t="s">
        <v>277</v>
      </c>
    </row>
    <row r="60" spans="2:3" ht="30">
      <c r="B60" s="50">
        <v>901910000</v>
      </c>
      <c r="C60" s="59" t="s">
        <v>278</v>
      </c>
    </row>
    <row r="61" spans="2:3" ht="15">
      <c r="B61" s="50">
        <v>901930000</v>
      </c>
      <c r="C61" s="59" t="s">
        <v>279</v>
      </c>
    </row>
    <row r="62" spans="2:3" ht="30">
      <c r="B62" s="50">
        <v>901960000</v>
      </c>
      <c r="C62" s="59" t="s">
        <v>280</v>
      </c>
    </row>
    <row r="63" spans="2:3" ht="23.25" customHeight="1">
      <c r="B63" s="50">
        <v>901980000</v>
      </c>
      <c r="C63" s="59" t="s">
        <v>281</v>
      </c>
    </row>
    <row r="64" spans="2:3" ht="45">
      <c r="B64" s="50">
        <v>901990000</v>
      </c>
      <c r="C64" s="59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="87" zoomScaleSheetLayoutView="87" zoomScalePageLayoutView="0" workbookViewId="0" topLeftCell="A1">
      <selection activeCell="L16" sqref="L16:L18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6.8515625" style="0" customWidth="1"/>
  </cols>
  <sheetData>
    <row r="1" ht="15.75">
      <c r="L1" s="28" t="s">
        <v>61</v>
      </c>
    </row>
    <row r="2" ht="15.75">
      <c r="F2" s="29" t="s">
        <v>62</v>
      </c>
    </row>
    <row r="3" ht="18.75">
      <c r="F3" s="29" t="s">
        <v>63</v>
      </c>
    </row>
    <row r="4" spans="1:7" ht="15.75">
      <c r="A4" s="28"/>
      <c r="E4" s="45"/>
      <c r="F4" s="46" t="s">
        <v>766</v>
      </c>
      <c r="G4" s="45"/>
    </row>
    <row r="5" ht="15.75">
      <c r="A5" s="29"/>
    </row>
    <row r="6" ht="15.75">
      <c r="A6" s="29"/>
    </row>
    <row r="7" spans="1:12" ht="15.75" customHeight="1">
      <c r="A7" s="638" t="s">
        <v>64</v>
      </c>
      <c r="B7" s="638" t="s">
        <v>45</v>
      </c>
      <c r="C7" s="638" t="s">
        <v>65</v>
      </c>
      <c r="D7" s="638" t="s">
        <v>66</v>
      </c>
      <c r="E7" s="638"/>
      <c r="F7" s="638"/>
      <c r="G7" s="638"/>
      <c r="H7" s="638"/>
      <c r="I7" s="638"/>
      <c r="J7" s="638"/>
      <c r="K7" s="638"/>
      <c r="L7" s="638"/>
    </row>
    <row r="8" spans="1:12" ht="15.75">
      <c r="A8" s="638"/>
      <c r="B8" s="638"/>
      <c r="C8" s="638"/>
      <c r="D8" s="638" t="s">
        <v>67</v>
      </c>
      <c r="E8" s="638"/>
      <c r="F8" s="638"/>
      <c r="G8" s="638"/>
      <c r="H8" s="638"/>
      <c r="I8" s="638"/>
      <c r="J8" s="638"/>
      <c r="K8" s="638"/>
      <c r="L8" s="638"/>
    </row>
    <row r="9" spans="1:12" ht="15.75">
      <c r="A9" s="638"/>
      <c r="B9" s="638"/>
      <c r="C9" s="638"/>
      <c r="D9" s="638" t="s">
        <v>68</v>
      </c>
      <c r="E9" s="638"/>
      <c r="F9" s="638"/>
      <c r="G9" s="638" t="s">
        <v>4</v>
      </c>
      <c r="H9" s="638"/>
      <c r="I9" s="638"/>
      <c r="J9" s="638"/>
      <c r="K9" s="638"/>
      <c r="L9" s="638"/>
    </row>
    <row r="10" spans="1:12" ht="47.25" customHeight="1">
      <c r="A10" s="638"/>
      <c r="B10" s="638"/>
      <c r="C10" s="638"/>
      <c r="D10" s="638"/>
      <c r="E10" s="638"/>
      <c r="F10" s="638"/>
      <c r="G10" s="638" t="s">
        <v>69</v>
      </c>
      <c r="H10" s="638"/>
      <c r="I10" s="638"/>
      <c r="J10" s="638" t="s">
        <v>70</v>
      </c>
      <c r="K10" s="638"/>
      <c r="L10" s="638"/>
    </row>
    <row r="11" spans="1:12" ht="50.25" customHeight="1">
      <c r="A11" s="638"/>
      <c r="B11" s="638"/>
      <c r="C11" s="638"/>
      <c r="D11" s="638"/>
      <c r="E11" s="638"/>
      <c r="F11" s="638"/>
      <c r="G11" s="641" t="s">
        <v>288</v>
      </c>
      <c r="H11" s="642"/>
      <c r="I11" s="643"/>
      <c r="J11" s="641" t="s">
        <v>71</v>
      </c>
      <c r="K11" s="642"/>
      <c r="L11" s="643"/>
    </row>
    <row r="12" spans="1:12" ht="78.75" customHeight="1">
      <c r="A12" s="638"/>
      <c r="B12" s="638"/>
      <c r="C12" s="638"/>
      <c r="D12" s="638"/>
      <c r="E12" s="638"/>
      <c r="F12" s="638"/>
      <c r="G12" s="644"/>
      <c r="H12" s="645"/>
      <c r="I12" s="646"/>
      <c r="J12" s="644"/>
      <c r="K12" s="645"/>
      <c r="L12" s="646"/>
    </row>
    <row r="13" spans="1:12" ht="15.75" customHeight="1">
      <c r="A13" s="638"/>
      <c r="B13" s="638"/>
      <c r="C13" s="638"/>
      <c r="D13" s="638" t="s">
        <v>426</v>
      </c>
      <c r="E13" s="638" t="s">
        <v>287</v>
      </c>
      <c r="F13" s="638" t="s">
        <v>427</v>
      </c>
      <c r="G13" s="638" t="s">
        <v>428</v>
      </c>
      <c r="H13" s="638" t="s">
        <v>287</v>
      </c>
      <c r="I13" s="47" t="s">
        <v>429</v>
      </c>
      <c r="J13" s="638" t="s">
        <v>426</v>
      </c>
      <c r="K13" s="638" t="s">
        <v>287</v>
      </c>
      <c r="L13" s="638" t="s">
        <v>427</v>
      </c>
    </row>
    <row r="14" spans="1:12" ht="47.25">
      <c r="A14" s="638"/>
      <c r="B14" s="638"/>
      <c r="C14" s="638"/>
      <c r="D14" s="638"/>
      <c r="E14" s="638"/>
      <c r="F14" s="638"/>
      <c r="G14" s="638"/>
      <c r="H14" s="638"/>
      <c r="I14" s="47" t="s">
        <v>72</v>
      </c>
      <c r="J14" s="638"/>
      <c r="K14" s="638"/>
      <c r="L14" s="638"/>
    </row>
    <row r="15" spans="1:12" ht="15.7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</row>
    <row r="16" spans="1:12" ht="66.75" customHeight="1">
      <c r="A16" s="30" t="s">
        <v>73</v>
      </c>
      <c r="B16" s="640" t="s">
        <v>76</v>
      </c>
      <c r="C16" s="634" t="s">
        <v>74</v>
      </c>
      <c r="D16" s="635">
        <f aca="true" t="shared" si="0" ref="D16:L16">D29</f>
        <v>20953322.95</v>
      </c>
      <c r="E16" s="632">
        <f>K16</f>
        <v>17839467.479999997</v>
      </c>
      <c r="F16" s="632">
        <f>L16</f>
        <v>17859467.48</v>
      </c>
      <c r="G16" s="632">
        <f t="shared" si="0"/>
        <v>0</v>
      </c>
      <c r="H16" s="632">
        <f t="shared" si="0"/>
        <v>0</v>
      </c>
      <c r="I16" s="632">
        <f t="shared" si="0"/>
        <v>0</v>
      </c>
      <c r="J16" s="632">
        <f t="shared" si="0"/>
        <v>20953322.95</v>
      </c>
      <c r="K16" s="632">
        <f t="shared" si="0"/>
        <v>17839467.479999997</v>
      </c>
      <c r="L16" s="632">
        <f t="shared" si="0"/>
        <v>17859467.48</v>
      </c>
    </row>
    <row r="17" spans="1:12" ht="15.75">
      <c r="A17" s="32" t="s">
        <v>5</v>
      </c>
      <c r="B17" s="640"/>
      <c r="C17" s="634"/>
      <c r="D17" s="636"/>
      <c r="E17" s="637"/>
      <c r="F17" s="637"/>
      <c r="G17" s="637"/>
      <c r="H17" s="637"/>
      <c r="I17" s="637"/>
      <c r="J17" s="637"/>
      <c r="K17" s="637"/>
      <c r="L17" s="637"/>
    </row>
    <row r="18" spans="1:12" ht="15">
      <c r="A18" s="31"/>
      <c r="B18" s="640"/>
      <c r="C18" s="634"/>
      <c r="D18" s="636"/>
      <c r="E18" s="637"/>
      <c r="F18" s="637"/>
      <c r="G18" s="637"/>
      <c r="H18" s="637"/>
      <c r="I18" s="637"/>
      <c r="J18" s="637"/>
      <c r="K18" s="637"/>
      <c r="L18" s="637"/>
    </row>
    <row r="19" spans="1:12" ht="84.75" customHeight="1">
      <c r="A19" s="639" t="s">
        <v>75</v>
      </c>
      <c r="B19" s="634">
        <v>1001</v>
      </c>
      <c r="C19" s="634" t="s">
        <v>74</v>
      </c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</row>
    <row r="20" spans="1:12" ht="15" customHeight="1">
      <c r="A20" s="633"/>
      <c r="B20" s="634"/>
      <c r="C20" s="634"/>
      <c r="D20" s="632"/>
      <c r="E20" s="632"/>
      <c r="F20" s="632"/>
      <c r="G20" s="632"/>
      <c r="H20" s="632"/>
      <c r="I20" s="632"/>
      <c r="J20" s="632"/>
      <c r="K20" s="632"/>
      <c r="L20" s="632"/>
    </row>
    <row r="21" spans="1:12" ht="15" customHeight="1">
      <c r="A21" s="633"/>
      <c r="B21" s="634"/>
      <c r="C21" s="634"/>
      <c r="D21" s="632"/>
      <c r="E21" s="632"/>
      <c r="F21" s="632"/>
      <c r="G21" s="632"/>
      <c r="H21" s="632"/>
      <c r="I21" s="632"/>
      <c r="J21" s="632"/>
      <c r="K21" s="632"/>
      <c r="L21" s="632"/>
    </row>
    <row r="22" spans="1:12" ht="15" customHeight="1">
      <c r="A22" s="633"/>
      <c r="B22" s="634"/>
      <c r="C22" s="634"/>
      <c r="D22" s="632"/>
      <c r="E22" s="632"/>
      <c r="F22" s="632"/>
      <c r="G22" s="632"/>
      <c r="H22" s="632"/>
      <c r="I22" s="632"/>
      <c r="J22" s="632"/>
      <c r="K22" s="632"/>
      <c r="L22" s="632"/>
    </row>
    <row r="23" spans="1:12" ht="9.75" customHeight="1">
      <c r="A23" s="633"/>
      <c r="B23" s="634"/>
      <c r="C23" s="634"/>
      <c r="D23" s="632"/>
      <c r="E23" s="632"/>
      <c r="F23" s="632"/>
      <c r="G23" s="632"/>
      <c r="H23" s="632"/>
      <c r="I23" s="632"/>
      <c r="J23" s="632"/>
      <c r="K23" s="632"/>
      <c r="L23" s="632"/>
    </row>
    <row r="24" spans="1:12" ht="15" customHeight="1" hidden="1">
      <c r="A24" s="633"/>
      <c r="B24" s="634"/>
      <c r="C24" s="634"/>
      <c r="D24" s="632"/>
      <c r="E24" s="632"/>
      <c r="F24" s="632"/>
      <c r="G24" s="632"/>
      <c r="H24" s="632"/>
      <c r="I24" s="632"/>
      <c r="J24" s="632"/>
      <c r="K24" s="632"/>
      <c r="L24" s="632"/>
    </row>
    <row r="25" spans="1:12" ht="15" customHeight="1" hidden="1">
      <c r="A25" s="633"/>
      <c r="B25" s="634"/>
      <c r="C25" s="634"/>
      <c r="D25" s="632"/>
      <c r="E25" s="632"/>
      <c r="F25" s="632"/>
      <c r="G25" s="632"/>
      <c r="H25" s="632"/>
      <c r="I25" s="632"/>
      <c r="J25" s="632"/>
      <c r="K25" s="632"/>
      <c r="L25" s="632"/>
    </row>
    <row r="26" spans="1:12" ht="15" customHeight="1" hidden="1">
      <c r="A26" s="633"/>
      <c r="B26" s="634"/>
      <c r="C26" s="634"/>
      <c r="D26" s="632"/>
      <c r="E26" s="632"/>
      <c r="F26" s="632"/>
      <c r="G26" s="632"/>
      <c r="H26" s="632"/>
      <c r="I26" s="632"/>
      <c r="J26" s="632"/>
      <c r="K26" s="632"/>
      <c r="L26" s="632"/>
    </row>
    <row r="27" spans="1:12" ht="15" customHeight="1" hidden="1">
      <c r="A27" s="633"/>
      <c r="B27" s="634"/>
      <c r="C27" s="634"/>
      <c r="D27" s="632"/>
      <c r="E27" s="632"/>
      <c r="F27" s="632"/>
      <c r="G27" s="632"/>
      <c r="H27" s="632"/>
      <c r="I27" s="632"/>
      <c r="J27" s="632"/>
      <c r="K27" s="632"/>
      <c r="L27" s="632"/>
    </row>
    <row r="28" spans="1:12" ht="15" customHeight="1" hidden="1">
      <c r="A28" s="633"/>
      <c r="B28" s="634"/>
      <c r="C28" s="634"/>
      <c r="D28" s="632"/>
      <c r="E28" s="632"/>
      <c r="F28" s="632"/>
      <c r="G28" s="632"/>
      <c r="H28" s="632"/>
      <c r="I28" s="632"/>
      <c r="J28" s="632"/>
      <c r="K28" s="632"/>
      <c r="L28" s="632"/>
    </row>
    <row r="29" spans="1:12" ht="50.25" customHeight="1">
      <c r="A29" s="633" t="s">
        <v>401</v>
      </c>
      <c r="B29" s="634">
        <v>2001</v>
      </c>
      <c r="C29" s="633"/>
      <c r="D29" s="631">
        <f>J29</f>
        <v>20953322.95</v>
      </c>
      <c r="E29" s="631">
        <v>0</v>
      </c>
      <c r="F29" s="631">
        <v>0</v>
      </c>
      <c r="G29" s="631">
        <v>0</v>
      </c>
      <c r="H29" s="631">
        <v>0</v>
      </c>
      <c r="I29" s="631">
        <v>0</v>
      </c>
      <c r="J29" s="631">
        <f>'раздел 3 (табл.2,3,4)'!H175</f>
        <v>20953322.95</v>
      </c>
      <c r="K29" s="631">
        <f>'раздел 3 (табл.2,3,4)'!H414</f>
        <v>17839467.479999997</v>
      </c>
      <c r="L29" s="631">
        <f>'раздел 3 (табл.2,3,4)'!H625</f>
        <v>17859467.48</v>
      </c>
    </row>
    <row r="30" spans="1:12" ht="15">
      <c r="A30" s="633"/>
      <c r="B30" s="634"/>
      <c r="C30" s="633"/>
      <c r="D30" s="631"/>
      <c r="E30" s="631"/>
      <c r="F30" s="631"/>
      <c r="G30" s="631"/>
      <c r="H30" s="631"/>
      <c r="I30" s="631"/>
      <c r="J30" s="631"/>
      <c r="K30" s="631"/>
      <c r="L30" s="631"/>
    </row>
    <row r="31" spans="1:12" ht="1.5" customHeight="1">
      <c r="A31" s="633"/>
      <c r="B31" s="634"/>
      <c r="C31" s="633"/>
      <c r="D31" s="631"/>
      <c r="E31" s="631"/>
      <c r="F31" s="631"/>
      <c r="G31" s="631"/>
      <c r="H31" s="631"/>
      <c r="I31" s="631"/>
      <c r="J31" s="631"/>
      <c r="K31" s="631"/>
      <c r="L31" s="631"/>
    </row>
    <row r="32" spans="1:12" ht="15">
      <c r="A32" s="633"/>
      <c r="B32" s="634"/>
      <c r="C32" s="633"/>
      <c r="D32" s="631"/>
      <c r="E32" s="631"/>
      <c r="F32" s="631"/>
      <c r="G32" s="631"/>
      <c r="H32" s="631"/>
      <c r="I32" s="631"/>
      <c r="J32" s="631"/>
      <c r="K32" s="631"/>
      <c r="L32" s="631"/>
    </row>
    <row r="33" spans="1:12" ht="15">
      <c r="A33" s="633"/>
      <c r="B33" s="634"/>
      <c r="C33" s="633"/>
      <c r="D33" s="631"/>
      <c r="E33" s="631"/>
      <c r="F33" s="631"/>
      <c r="G33" s="631"/>
      <c r="H33" s="631"/>
      <c r="I33" s="631"/>
      <c r="J33" s="631"/>
      <c r="K33" s="631"/>
      <c r="L33" s="631"/>
    </row>
    <row r="34" spans="1:12" ht="15">
      <c r="A34" s="633"/>
      <c r="B34" s="634"/>
      <c r="C34" s="633"/>
      <c r="D34" s="631"/>
      <c r="E34" s="631"/>
      <c r="F34" s="631"/>
      <c r="G34" s="631"/>
      <c r="H34" s="631"/>
      <c r="I34" s="631"/>
      <c r="J34" s="631"/>
      <c r="K34" s="631"/>
      <c r="L34" s="631"/>
    </row>
    <row r="36" ht="18.75">
      <c r="A36" s="33" t="s">
        <v>78</v>
      </c>
    </row>
    <row r="37" spans="1:12" ht="82.5" customHeight="1">
      <c r="A37" s="630" t="s">
        <v>289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</row>
    <row r="38" spans="1:12" ht="103.5" customHeight="1">
      <c r="A38" s="630" t="s">
        <v>290</v>
      </c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0"/>
    </row>
    <row r="39" ht="15.75">
      <c r="A39" s="27" t="s">
        <v>79</v>
      </c>
    </row>
    <row r="40" ht="15.75">
      <c r="A40" s="27" t="s">
        <v>291</v>
      </c>
    </row>
    <row r="41" ht="15.75">
      <c r="A41" s="27" t="s">
        <v>80</v>
      </c>
    </row>
    <row r="42" ht="15.75">
      <c r="A42" s="27" t="s">
        <v>81</v>
      </c>
    </row>
    <row r="43" ht="15.75">
      <c r="A43" s="27" t="s">
        <v>82</v>
      </c>
    </row>
    <row r="44" ht="15.75">
      <c r="A44" s="27" t="s">
        <v>292</v>
      </c>
    </row>
    <row r="45" ht="15.75">
      <c r="A45" s="27" t="s">
        <v>293</v>
      </c>
    </row>
    <row r="46" ht="15.75">
      <c r="A46" s="27" t="s">
        <v>294</v>
      </c>
    </row>
    <row r="47" spans="1:12" ht="18" customHeight="1">
      <c r="A47" s="630" t="s">
        <v>295</v>
      </c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</row>
    <row r="48" spans="1:12" s="61" customFormat="1" ht="31.5" customHeight="1">
      <c r="A48" s="630" t="s">
        <v>402</v>
      </c>
      <c r="B48" s="630"/>
      <c r="C48" s="630"/>
      <c r="D48" s="630"/>
      <c r="E48" s="630"/>
      <c r="F48" s="630"/>
      <c r="G48" s="630"/>
      <c r="H48" s="630"/>
      <c r="I48" s="630"/>
      <c r="J48" s="630"/>
      <c r="K48" s="630"/>
      <c r="L48" s="630"/>
    </row>
  </sheetData>
  <sheetProtection/>
  <mergeCells count="58"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4" t="s">
        <v>83</v>
      </c>
    </row>
    <row r="3" spans="2:4" ht="15.75">
      <c r="B3" s="29"/>
      <c r="D3" s="28" t="s">
        <v>84</v>
      </c>
    </row>
    <row r="4" ht="33.75" customHeight="1">
      <c r="B4" s="29" t="s">
        <v>85</v>
      </c>
    </row>
    <row r="5" spans="1:3" ht="15.75">
      <c r="A5" s="45"/>
      <c r="B5" s="46" t="s">
        <v>767</v>
      </c>
      <c r="C5" s="45"/>
    </row>
    <row r="6" ht="15.75">
      <c r="B6" s="29" t="s">
        <v>40</v>
      </c>
    </row>
    <row r="7" ht="15.75">
      <c r="A7" s="27"/>
    </row>
    <row r="8" spans="1:3" ht="75" customHeight="1">
      <c r="A8" s="638" t="s">
        <v>1</v>
      </c>
      <c r="B8" s="25" t="s">
        <v>86</v>
      </c>
      <c r="C8" s="638" t="s">
        <v>88</v>
      </c>
    </row>
    <row r="9" spans="1:3" ht="15.75">
      <c r="A9" s="638"/>
      <c r="B9" s="25" t="s">
        <v>87</v>
      </c>
      <c r="C9" s="638"/>
    </row>
    <row r="10" spans="1:3" ht="15.75">
      <c r="A10" s="25">
        <v>1</v>
      </c>
      <c r="B10" s="25">
        <v>2</v>
      </c>
      <c r="C10" s="25">
        <v>3</v>
      </c>
    </row>
    <row r="11" spans="1:3" ht="34.5" customHeight="1">
      <c r="A11" s="24" t="s">
        <v>59</v>
      </c>
      <c r="B11" s="81" t="s">
        <v>403</v>
      </c>
      <c r="C11" s="44">
        <v>0</v>
      </c>
    </row>
    <row r="12" spans="1:3" ht="42" customHeight="1">
      <c r="A12" s="24" t="s">
        <v>60</v>
      </c>
      <c r="B12" s="81" t="s">
        <v>404</v>
      </c>
      <c r="C12" s="44">
        <v>0</v>
      </c>
    </row>
    <row r="13" spans="1:3" ht="15.75">
      <c r="A13" s="24" t="s">
        <v>89</v>
      </c>
      <c r="B13" s="81" t="s">
        <v>405</v>
      </c>
      <c r="C13" s="44">
        <v>167919</v>
      </c>
    </row>
    <row r="14" spans="1:3" ht="30" customHeight="1">
      <c r="A14" s="24" t="s">
        <v>90</v>
      </c>
      <c r="B14" s="81" t="s">
        <v>406</v>
      </c>
      <c r="C14" s="471">
        <v>167919</v>
      </c>
    </row>
    <row r="15" spans="1:3" ht="15.75">
      <c r="A15" s="24"/>
      <c r="B15" s="24"/>
      <c r="C15" s="24"/>
    </row>
    <row r="16" ht="15.75">
      <c r="A16" s="27"/>
    </row>
    <row r="17" ht="15.75">
      <c r="A17" s="27" t="s">
        <v>91</v>
      </c>
    </row>
    <row r="18" spans="1:13" ht="21" customHeight="1">
      <c r="A18" s="647" t="s">
        <v>407</v>
      </c>
      <c r="B18" s="647"/>
      <c r="C18" s="647"/>
      <c r="D18" s="69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 customHeight="1">
      <c r="A19" s="647"/>
      <c r="B19" s="647"/>
      <c r="C19" s="647"/>
      <c r="D19" s="69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" customHeight="1">
      <c r="A20" s="647"/>
      <c r="B20" s="647"/>
      <c r="C20" s="647"/>
      <c r="D20" s="69"/>
      <c r="E20" s="26"/>
      <c r="F20" s="26"/>
      <c r="G20" s="26"/>
      <c r="H20" s="26"/>
      <c r="I20" s="26"/>
      <c r="J20" s="26"/>
      <c r="K20" s="26"/>
      <c r="L20" s="26"/>
      <c r="M20" s="26"/>
    </row>
    <row r="21" spans="1:4" ht="15" customHeight="1">
      <c r="A21" s="647"/>
      <c r="B21" s="647"/>
      <c r="C21" s="647"/>
      <c r="D21" s="69"/>
    </row>
    <row r="22" spans="1:4" ht="15" customHeight="1">
      <c r="A22" s="647"/>
      <c r="B22" s="647"/>
      <c r="C22" s="647"/>
      <c r="D22" s="69"/>
    </row>
    <row r="23" spans="1:4" ht="15" customHeight="1">
      <c r="A23" s="647"/>
      <c r="B23" s="647"/>
      <c r="C23" s="647"/>
      <c r="D23" s="69"/>
    </row>
    <row r="24" spans="1:4" ht="30.75" customHeight="1">
      <c r="A24" s="647"/>
      <c r="B24" s="647"/>
      <c r="C24" s="647"/>
      <c r="D24" s="69"/>
    </row>
    <row r="25" spans="1:3" ht="15">
      <c r="A25" s="647"/>
      <c r="B25" s="647"/>
      <c r="C25" s="647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6"/>
  <sheetViews>
    <sheetView zoomScalePageLayoutView="0" workbookViewId="0" topLeftCell="A13">
      <selection activeCell="A13" sqref="A1:E16384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4" t="s">
        <v>92</v>
      </c>
    </row>
    <row r="6" ht="15.75">
      <c r="D6" s="28" t="s">
        <v>93</v>
      </c>
    </row>
    <row r="7" ht="15.75">
      <c r="A7" s="28"/>
    </row>
    <row r="8" ht="15.75">
      <c r="A8" s="29" t="s">
        <v>94</v>
      </c>
    </row>
    <row r="9" ht="15.75">
      <c r="A9" s="27"/>
    </row>
    <row r="10" spans="1:3" ht="15.75">
      <c r="A10" s="25" t="s">
        <v>1</v>
      </c>
      <c r="B10" s="25" t="s">
        <v>45</v>
      </c>
      <c r="C10" s="25" t="s">
        <v>95</v>
      </c>
    </row>
    <row r="11" spans="1:3" ht="15.75">
      <c r="A11" s="25">
        <v>1</v>
      </c>
      <c r="B11" s="25">
        <v>2</v>
      </c>
      <c r="C11" s="25">
        <v>3</v>
      </c>
    </row>
    <row r="12" spans="1:3" ht="31.5" customHeight="1">
      <c r="A12" s="24" t="s">
        <v>96</v>
      </c>
      <c r="B12" s="81" t="s">
        <v>403</v>
      </c>
      <c r="C12" s="44">
        <v>0</v>
      </c>
    </row>
    <row r="13" spans="1:3" ht="54" customHeight="1">
      <c r="A13" s="24" t="s">
        <v>97</v>
      </c>
      <c r="B13" s="648" t="s">
        <v>404</v>
      </c>
      <c r="C13" s="631">
        <v>0</v>
      </c>
    </row>
    <row r="14" spans="1:3" ht="56.25" customHeight="1">
      <c r="A14" s="24" t="s">
        <v>98</v>
      </c>
      <c r="B14" s="648"/>
      <c r="C14" s="631"/>
    </row>
    <row r="15" ht="15.75">
      <c r="A15" s="27"/>
    </row>
    <row r="16" ht="15.75">
      <c r="A16" s="27"/>
    </row>
    <row r="17" ht="15.75">
      <c r="A17" s="27"/>
    </row>
    <row r="18" ht="15.75">
      <c r="A18" s="27" t="s">
        <v>99</v>
      </c>
    </row>
    <row r="19" spans="1:3" ht="15.75">
      <c r="A19" s="27" t="s">
        <v>100</v>
      </c>
      <c r="C19" t="s">
        <v>487</v>
      </c>
    </row>
    <row r="20" ht="15.75">
      <c r="A20" s="27" t="s">
        <v>101</v>
      </c>
    </row>
    <row r="21" ht="15.75">
      <c r="A21" s="27"/>
    </row>
    <row r="22" ht="15.75">
      <c r="A22" s="27" t="s">
        <v>102</v>
      </c>
    </row>
    <row r="23" ht="15.75">
      <c r="A23" s="27" t="s">
        <v>100</v>
      </c>
    </row>
    <row r="24" ht="15.75">
      <c r="A24" s="27" t="s">
        <v>101</v>
      </c>
    </row>
    <row r="25" ht="15.75">
      <c r="A25" s="27"/>
    </row>
    <row r="26" ht="15.75">
      <c r="A26" s="27" t="s">
        <v>103</v>
      </c>
    </row>
    <row r="27" ht="15.75">
      <c r="A27" s="27" t="s">
        <v>100</v>
      </c>
    </row>
    <row r="28" ht="15.75">
      <c r="A28" s="27" t="s">
        <v>101</v>
      </c>
    </row>
    <row r="29" ht="15.75">
      <c r="A29" s="27"/>
    </row>
    <row r="30" ht="15.75">
      <c r="A30" s="27" t="s">
        <v>13</v>
      </c>
    </row>
    <row r="31" spans="1:2" ht="15.75">
      <c r="A31" s="42"/>
      <c r="B31" s="43"/>
    </row>
    <row r="32" ht="15.75">
      <c r="A32" s="27" t="s">
        <v>104</v>
      </c>
    </row>
    <row r="33" ht="15.75">
      <c r="A33" s="27"/>
    </row>
    <row r="34" ht="15.75">
      <c r="A34" s="42" t="s">
        <v>763</v>
      </c>
    </row>
    <row r="35" ht="15.75">
      <c r="A35" s="27"/>
    </row>
    <row r="36" ht="15.75">
      <c r="A36" s="182">
        <v>43644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85"/>
  <sheetViews>
    <sheetView view="pageBreakPreview" zoomScale="60" zoomScalePageLayoutView="0" workbookViewId="0" topLeftCell="A238">
      <selection activeCell="A238" sqref="A1:K16384"/>
    </sheetView>
  </sheetViews>
  <sheetFormatPr defaultColWidth="9.140625" defaultRowHeight="15"/>
  <cols>
    <col min="1" max="1" width="9.140625" style="185" customWidth="1"/>
    <col min="2" max="2" width="24.140625" style="186" customWidth="1"/>
    <col min="3" max="3" width="20.57421875" style="185" customWidth="1"/>
    <col min="4" max="4" width="21.28125" style="185" customWidth="1"/>
    <col min="5" max="5" width="20.7109375" style="185" customWidth="1"/>
    <col min="6" max="6" width="20.8515625" style="185" customWidth="1"/>
    <col min="7" max="7" width="21.28125" style="185" customWidth="1"/>
    <col min="8" max="8" width="18.421875" style="185" customWidth="1"/>
    <col min="9" max="9" width="19.57421875" style="185" customWidth="1"/>
    <col min="10" max="10" width="23.00390625" style="185" customWidth="1"/>
    <col min="11" max="11" width="24.421875" style="185" customWidth="1"/>
    <col min="12" max="12" width="16.140625" style="185" customWidth="1"/>
    <col min="13" max="16384" width="9.140625" style="185" customWidth="1"/>
  </cols>
  <sheetData>
    <row r="1" spans="5:6" ht="15.75" customHeight="1">
      <c r="E1" s="746"/>
      <c r="F1" s="746"/>
    </row>
    <row r="2" spans="1:26" s="189" customFormat="1" ht="40.5" customHeight="1">
      <c r="A2" s="747" t="s">
        <v>539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2:26" s="189" customFormat="1" ht="15.75" customHeight="1">
      <c r="B3" s="748" t="s">
        <v>861</v>
      </c>
      <c r="C3" s="748"/>
      <c r="D3" s="748"/>
      <c r="E3" s="748"/>
      <c r="F3" s="748"/>
      <c r="G3" s="748"/>
      <c r="H3" s="748"/>
      <c r="I3" s="74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162" ht="20.25" customHeight="1">
      <c r="A4" s="749" t="s">
        <v>540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</row>
    <row r="5" spans="2:31" ht="15.75" customHeight="1">
      <c r="B5" s="185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2:31" ht="15.75" customHeight="1">
      <c r="B6" s="192" t="s">
        <v>541</v>
      </c>
      <c r="C6" s="192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spans="2:31" ht="15.75" customHeight="1">
      <c r="B7" s="185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2:31" ht="15.75" customHeight="1">
      <c r="B8" s="192" t="s">
        <v>542</v>
      </c>
      <c r="C8" s="192"/>
      <c r="D8" s="192" t="s">
        <v>543</v>
      </c>
      <c r="E8" s="192"/>
      <c r="F8" s="192"/>
      <c r="G8" s="192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2:31" ht="15.75" customHeight="1">
      <c r="B9" s="185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</row>
    <row r="10" spans="2:31" ht="15.75" customHeight="1">
      <c r="B10" s="193" t="s">
        <v>544</v>
      </c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</row>
    <row r="11" spans="2:31" ht="15.75" customHeight="1">
      <c r="B11" s="185"/>
      <c r="J11" s="468">
        <v>18286841.5</v>
      </c>
      <c r="K11" s="465">
        <f>J20-J11</f>
        <v>-123437.53000000119</v>
      </c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</row>
    <row r="12" spans="1:83" ht="48" customHeight="1">
      <c r="A12" s="739" t="s">
        <v>545</v>
      </c>
      <c r="B12" s="740" t="s">
        <v>546</v>
      </c>
      <c r="C12" s="740" t="s">
        <v>547</v>
      </c>
      <c r="D12" s="743" t="s">
        <v>548</v>
      </c>
      <c r="E12" s="744"/>
      <c r="F12" s="744"/>
      <c r="G12" s="745"/>
      <c r="H12" s="730" t="s">
        <v>549</v>
      </c>
      <c r="I12" s="730" t="s">
        <v>550</v>
      </c>
      <c r="J12" s="730" t="s">
        <v>551</v>
      </c>
      <c r="K12" s="733" t="s">
        <v>552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1"/>
      <c r="BY12" s="191"/>
      <c r="BZ12" s="191"/>
      <c r="CA12" s="191"/>
      <c r="CB12" s="191"/>
      <c r="CC12" s="191"/>
      <c r="CD12" s="191"/>
      <c r="CE12" s="191"/>
    </row>
    <row r="13" spans="1:73" ht="15.75" customHeight="1">
      <c r="A13" s="739"/>
      <c r="B13" s="741"/>
      <c r="C13" s="741"/>
      <c r="D13" s="195" t="s">
        <v>36</v>
      </c>
      <c r="E13" s="734" t="s">
        <v>4</v>
      </c>
      <c r="F13" s="735"/>
      <c r="G13" s="735"/>
      <c r="H13" s="731"/>
      <c r="I13" s="731"/>
      <c r="J13" s="731"/>
      <c r="K13" s="73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</row>
    <row r="14" spans="1:31" ht="46.5" customHeight="1">
      <c r="A14" s="739"/>
      <c r="B14" s="742"/>
      <c r="C14" s="742"/>
      <c r="D14" s="197"/>
      <c r="E14" s="198" t="s">
        <v>553</v>
      </c>
      <c r="F14" s="198" t="s">
        <v>554</v>
      </c>
      <c r="G14" s="196" t="s">
        <v>555</v>
      </c>
      <c r="H14" s="732"/>
      <c r="I14" s="732"/>
      <c r="J14" s="732"/>
      <c r="K14" s="73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1"/>
      <c r="AB14" s="191"/>
      <c r="AC14" s="191"/>
      <c r="AD14" s="191"/>
      <c r="AE14" s="191"/>
    </row>
    <row r="15" spans="1:31" ht="15.75" customHeight="1">
      <c r="A15" s="199">
        <v>1</v>
      </c>
      <c r="B15" s="200">
        <v>2</v>
      </c>
      <c r="C15" s="200">
        <v>3</v>
      </c>
      <c r="D15" s="201">
        <v>4</v>
      </c>
      <c r="E15" s="202">
        <v>5</v>
      </c>
      <c r="F15" s="203">
        <v>6</v>
      </c>
      <c r="G15" s="200">
        <v>7</v>
      </c>
      <c r="H15" s="200">
        <v>8</v>
      </c>
      <c r="I15" s="200">
        <v>9</v>
      </c>
      <c r="J15" s="203">
        <v>10</v>
      </c>
      <c r="K15" s="203">
        <v>11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191"/>
      <c r="AB15" s="191"/>
      <c r="AC15" s="191"/>
      <c r="AD15" s="191"/>
      <c r="AE15" s="191"/>
    </row>
    <row r="16" spans="1:31" ht="15.75" customHeight="1">
      <c r="A16" s="205"/>
      <c r="B16" s="206" t="s">
        <v>556</v>
      </c>
      <c r="C16" s="207">
        <v>4</v>
      </c>
      <c r="D16" s="207">
        <f>SUM(E16:G16)</f>
        <v>33046.7</v>
      </c>
      <c r="E16" s="208">
        <v>16110</v>
      </c>
      <c r="F16" s="208">
        <v>0</v>
      </c>
      <c r="G16" s="207">
        <f>18830.35-1893.65</f>
        <v>16936.699999999997</v>
      </c>
      <c r="H16" s="207">
        <v>0</v>
      </c>
      <c r="I16" s="207">
        <v>1.15</v>
      </c>
      <c r="J16" s="209">
        <f>(C16*D16*(1+H16/100)*I16*12)</f>
        <v>1824177.8399999999</v>
      </c>
      <c r="K16" s="210" t="s">
        <v>557</v>
      </c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91"/>
      <c r="AB16" s="191"/>
      <c r="AC16" s="191"/>
      <c r="AD16" s="191"/>
      <c r="AE16" s="191"/>
    </row>
    <row r="17" spans="1:31" ht="15.75" customHeight="1">
      <c r="A17" s="205"/>
      <c r="B17" s="206" t="s">
        <v>558</v>
      </c>
      <c r="C17" s="207">
        <v>3</v>
      </c>
      <c r="D17" s="207">
        <f>SUM(E17:G17)</f>
        <v>24380.72</v>
      </c>
      <c r="E17" s="208">
        <v>7000</v>
      </c>
      <c r="F17" s="208">
        <v>0</v>
      </c>
      <c r="G17" s="207">
        <f>21385-4000-0.03-0.87-3.38</f>
        <v>17380.72</v>
      </c>
      <c r="H17" s="207">
        <v>0</v>
      </c>
      <c r="I17" s="207">
        <v>1.15</v>
      </c>
      <c r="J17" s="209">
        <f>(C17*D17*(1+H17/100)*I17*12)</f>
        <v>1009361.808</v>
      </c>
      <c r="K17" s="210" t="s">
        <v>557</v>
      </c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91"/>
      <c r="AB17" s="191"/>
      <c r="AC17" s="191"/>
      <c r="AD17" s="191"/>
      <c r="AE17" s="191"/>
    </row>
    <row r="18" spans="1:31" ht="15.75" customHeight="1">
      <c r="A18" s="205"/>
      <c r="B18" s="206" t="s">
        <v>559</v>
      </c>
      <c r="C18" s="207">
        <v>44</v>
      </c>
      <c r="D18" s="207">
        <f>SUM(E18:G18)</f>
        <v>23393.88</v>
      </c>
      <c r="E18" s="208">
        <v>7000</v>
      </c>
      <c r="F18" s="208">
        <v>0</v>
      </c>
      <c r="G18" s="207">
        <f>13118-60+3165.54+373.34-203</f>
        <v>16393.88</v>
      </c>
      <c r="H18" s="207">
        <v>0</v>
      </c>
      <c r="I18" s="207">
        <v>1.15</v>
      </c>
      <c r="J18" s="209">
        <f>(C18*D18*(1+H18/100)*I18*12)+0.19</f>
        <v>14204764.126</v>
      </c>
      <c r="K18" s="210" t="s">
        <v>557</v>
      </c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191"/>
      <c r="AB18" s="191"/>
      <c r="AC18" s="191"/>
      <c r="AD18" s="191"/>
      <c r="AE18" s="191"/>
    </row>
    <row r="19" spans="1:31" ht="15.75" customHeight="1">
      <c r="A19" s="205"/>
      <c r="B19" s="206" t="s">
        <v>560</v>
      </c>
      <c r="C19" s="207">
        <v>4</v>
      </c>
      <c r="D19" s="207">
        <f>SUM(E19:G19)</f>
        <v>20382.25</v>
      </c>
      <c r="E19" s="208">
        <v>5880</v>
      </c>
      <c r="F19" s="208">
        <v>0</v>
      </c>
      <c r="G19" s="207">
        <f>16002.25-1500</f>
        <v>14502.25</v>
      </c>
      <c r="H19" s="207">
        <v>0</v>
      </c>
      <c r="I19" s="207">
        <v>1.15</v>
      </c>
      <c r="J19" s="209">
        <f>(C19*D19*(1+H19/100)*I19*12)</f>
        <v>1125100.2</v>
      </c>
      <c r="K19" s="210" t="s">
        <v>557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191"/>
      <c r="AB19" s="191"/>
      <c r="AC19" s="191"/>
      <c r="AD19" s="191"/>
      <c r="AE19" s="191"/>
    </row>
    <row r="20" spans="1:31" s="193" customFormat="1" ht="15.75" customHeight="1">
      <c r="A20" s="218"/>
      <c r="B20" s="380"/>
      <c r="C20" s="381">
        <f>SUM(C16:C19)</f>
        <v>55</v>
      </c>
      <c r="D20" s="381"/>
      <c r="E20" s="382"/>
      <c r="F20" s="382"/>
      <c r="G20" s="381"/>
      <c r="H20" s="381"/>
      <c r="I20" s="381"/>
      <c r="J20" s="213">
        <f>ROUND(SUM(J16:J19),2)</f>
        <v>18163403.97</v>
      </c>
      <c r="K20" s="38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222"/>
      <c r="AB20" s="222"/>
      <c r="AC20" s="222"/>
      <c r="AD20" s="222"/>
      <c r="AE20" s="222"/>
    </row>
    <row r="21" spans="1:31" s="193" customFormat="1" ht="15.75" customHeight="1">
      <c r="A21" s="218"/>
      <c r="B21" s="206" t="s">
        <v>556</v>
      </c>
      <c r="C21" s="207">
        <v>3</v>
      </c>
      <c r="D21" s="207">
        <f>SUM(E21:H21)</f>
        <v>34879.55</v>
      </c>
      <c r="E21" s="207">
        <v>9882.12</v>
      </c>
      <c r="F21" s="207">
        <v>7471</v>
      </c>
      <c r="G21" s="207">
        <f>17528.07-1.64</f>
        <v>17526.43</v>
      </c>
      <c r="H21" s="214">
        <v>0</v>
      </c>
      <c r="I21" s="214">
        <v>1.15</v>
      </c>
      <c r="J21" s="209">
        <f>(C21*D21*(1+H21/100)*I21*12)</f>
        <v>1444013.3699999999</v>
      </c>
      <c r="K21" s="38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222"/>
      <c r="AB21" s="222"/>
      <c r="AC21" s="222"/>
      <c r="AD21" s="222"/>
      <c r="AE21" s="222"/>
    </row>
    <row r="22" spans="1:31" s="193" customFormat="1" ht="15.75" customHeight="1">
      <c r="A22" s="218"/>
      <c r="B22" s="206" t="s">
        <v>558</v>
      </c>
      <c r="C22" s="207">
        <v>13</v>
      </c>
      <c r="D22" s="207">
        <f>SUM(E22:H22)</f>
        <v>22395.54</v>
      </c>
      <c r="E22" s="207">
        <v>9216.89</v>
      </c>
      <c r="F22" s="207">
        <v>1083.63</v>
      </c>
      <c r="G22" s="207">
        <f>12875.02-780</f>
        <v>12095.02</v>
      </c>
      <c r="H22" s="214">
        <v>0</v>
      </c>
      <c r="I22" s="214">
        <v>1.15</v>
      </c>
      <c r="J22" s="209">
        <f>(C22*D22*(1+H22/100)*I22*12)-0.11</f>
        <v>4017759.766</v>
      </c>
      <c r="K22" s="38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222"/>
      <c r="AB22" s="222"/>
      <c r="AC22" s="222"/>
      <c r="AD22" s="222"/>
      <c r="AE22" s="222"/>
    </row>
    <row r="23" spans="1:31" s="193" customFormat="1" ht="15.75" customHeight="1">
      <c r="A23" s="218"/>
      <c r="B23" s="206" t="s">
        <v>559</v>
      </c>
      <c r="C23" s="207">
        <v>6</v>
      </c>
      <c r="D23" s="207">
        <f>SUM(E23:H23)</f>
        <v>23808.4</v>
      </c>
      <c r="E23" s="207">
        <v>7027.4</v>
      </c>
      <c r="F23" s="207">
        <v>1151.08</v>
      </c>
      <c r="G23" s="207">
        <v>15629.92</v>
      </c>
      <c r="H23" s="214">
        <v>0</v>
      </c>
      <c r="I23" s="214">
        <v>1.15</v>
      </c>
      <c r="J23" s="209">
        <f>(C23*D23*(1+H23/100)*I23*12)</f>
        <v>1971335.5200000003</v>
      </c>
      <c r="K23" s="38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222"/>
      <c r="AB23" s="222"/>
      <c r="AC23" s="222"/>
      <c r="AD23" s="222"/>
      <c r="AE23" s="222"/>
    </row>
    <row r="24" spans="1:31" s="193" customFormat="1" ht="15.75" customHeight="1">
      <c r="A24" s="218"/>
      <c r="B24" s="206" t="s">
        <v>560</v>
      </c>
      <c r="C24" s="207">
        <v>14</v>
      </c>
      <c r="D24" s="207">
        <f>SUM(E24:H24)</f>
        <v>13886.76</v>
      </c>
      <c r="E24" s="207">
        <v>4835.77</v>
      </c>
      <c r="F24" s="207">
        <v>2673.62</v>
      </c>
      <c r="G24" s="207">
        <v>6377.37</v>
      </c>
      <c r="H24" s="214">
        <v>0</v>
      </c>
      <c r="I24" s="214">
        <v>1.15</v>
      </c>
      <c r="J24" s="209">
        <f>(C24*D24*(1+H24/100)*I24*12)</f>
        <v>2682922.032</v>
      </c>
      <c r="K24" s="38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222"/>
      <c r="AB24" s="222"/>
      <c r="AC24" s="222"/>
      <c r="AD24" s="222"/>
      <c r="AE24" s="222"/>
    </row>
    <row r="25" spans="1:31" s="193" customFormat="1" ht="15.75" customHeight="1">
      <c r="A25" s="218"/>
      <c r="B25" s="212" t="s">
        <v>561</v>
      </c>
      <c r="C25" s="201" t="s">
        <v>562</v>
      </c>
      <c r="D25" s="201"/>
      <c r="E25" s="202" t="s">
        <v>562</v>
      </c>
      <c r="F25" s="202" t="s">
        <v>562</v>
      </c>
      <c r="G25" s="214" t="s">
        <v>562</v>
      </c>
      <c r="H25" s="214" t="s">
        <v>562</v>
      </c>
      <c r="I25" s="214" t="s">
        <v>562</v>
      </c>
      <c r="J25" s="213">
        <f>SUM(J21:J24)</f>
        <v>10116030.688000001</v>
      </c>
      <c r="K25" s="38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222"/>
      <c r="AB25" s="222"/>
      <c r="AC25" s="222"/>
      <c r="AD25" s="222"/>
      <c r="AE25" s="222"/>
    </row>
    <row r="26" spans="1:31" ht="15.75" customHeight="1">
      <c r="A26" s="205"/>
      <c r="B26" s="206" t="s">
        <v>747</v>
      </c>
      <c r="C26" s="207"/>
      <c r="D26" s="207"/>
      <c r="E26" s="208"/>
      <c r="F26" s="208"/>
      <c r="G26" s="207"/>
      <c r="H26" s="207"/>
      <c r="I26" s="207"/>
      <c r="J26" s="209">
        <v>47432.87</v>
      </c>
      <c r="K26" s="210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191"/>
      <c r="AB26" s="191"/>
      <c r="AC26" s="191"/>
      <c r="AD26" s="191"/>
      <c r="AE26" s="191"/>
    </row>
    <row r="27" spans="1:31" ht="15.75" customHeight="1">
      <c r="A27" s="205"/>
      <c r="B27" s="206" t="s">
        <v>759</v>
      </c>
      <c r="C27" s="207"/>
      <c r="D27" s="207"/>
      <c r="E27" s="208"/>
      <c r="F27" s="208"/>
      <c r="G27" s="207"/>
      <c r="H27" s="207"/>
      <c r="I27" s="207"/>
      <c r="J27" s="209">
        <v>80000</v>
      </c>
      <c r="K27" s="210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191"/>
      <c r="AB27" s="191"/>
      <c r="AC27" s="191"/>
      <c r="AD27" s="191"/>
      <c r="AE27" s="191"/>
    </row>
    <row r="28" spans="1:31" s="193" customFormat="1" ht="15.75" customHeight="1">
      <c r="A28" s="218"/>
      <c r="B28" s="384" t="s">
        <v>561</v>
      </c>
      <c r="C28" s="381" t="s">
        <v>562</v>
      </c>
      <c r="D28" s="381"/>
      <c r="E28" s="382" t="s">
        <v>562</v>
      </c>
      <c r="F28" s="382" t="s">
        <v>562</v>
      </c>
      <c r="G28" s="381" t="s">
        <v>562</v>
      </c>
      <c r="H28" s="381" t="s">
        <v>562</v>
      </c>
      <c r="I28" s="381" t="s">
        <v>562</v>
      </c>
      <c r="J28" s="213">
        <f>J20+J25+J26+J27</f>
        <v>28406867.528</v>
      </c>
      <c r="K28" s="385" t="s">
        <v>562</v>
      </c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222"/>
      <c r="AB28" s="222"/>
      <c r="AC28" s="222"/>
      <c r="AD28" s="222"/>
      <c r="AE28" s="222"/>
    </row>
    <row r="29" spans="1:31" ht="15.75" customHeight="1">
      <c r="A29" s="205"/>
      <c r="B29" s="206" t="s">
        <v>556</v>
      </c>
      <c r="C29" s="201"/>
      <c r="D29" s="201"/>
      <c r="E29" s="202"/>
      <c r="F29" s="202"/>
      <c r="G29" s="214"/>
      <c r="H29" s="214"/>
      <c r="I29" s="214"/>
      <c r="J29" s="202">
        <f>(C29*D29*(1+H29/100)*I29*12)</f>
        <v>0</v>
      </c>
      <c r="K29" s="210" t="s">
        <v>563</v>
      </c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191"/>
      <c r="AB29" s="191"/>
      <c r="AC29" s="191"/>
      <c r="AD29" s="191"/>
      <c r="AE29" s="191"/>
    </row>
    <row r="30" spans="1:31" ht="15.75" customHeight="1">
      <c r="A30" s="205"/>
      <c r="B30" s="206" t="s">
        <v>558</v>
      </c>
      <c r="C30" s="201"/>
      <c r="D30" s="201"/>
      <c r="E30" s="202"/>
      <c r="F30" s="202"/>
      <c r="G30" s="214"/>
      <c r="H30" s="214"/>
      <c r="I30" s="214"/>
      <c r="J30" s="202">
        <f>(C30*D30*(1+H30/100)*I30*12)</f>
        <v>0</v>
      </c>
      <c r="K30" s="210" t="s">
        <v>563</v>
      </c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191"/>
      <c r="AB30" s="191"/>
      <c r="AC30" s="191"/>
      <c r="AD30" s="191"/>
      <c r="AE30" s="191"/>
    </row>
    <row r="31" spans="1:31" ht="15.75" customHeight="1">
      <c r="A31" s="205"/>
      <c r="B31" s="206" t="s">
        <v>559</v>
      </c>
      <c r="C31" s="201"/>
      <c r="D31" s="201"/>
      <c r="E31" s="202"/>
      <c r="F31" s="202"/>
      <c r="G31" s="214"/>
      <c r="H31" s="214"/>
      <c r="I31" s="214"/>
      <c r="J31" s="202">
        <f>(C31*D31*(1+H31/100)*I31*12)</f>
        <v>0</v>
      </c>
      <c r="K31" s="210" t="s">
        <v>563</v>
      </c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191"/>
      <c r="AB31" s="191"/>
      <c r="AC31" s="191"/>
      <c r="AD31" s="191"/>
      <c r="AE31" s="191"/>
    </row>
    <row r="32" spans="1:31" ht="15.75" customHeight="1">
      <c r="A32" s="205"/>
      <c r="B32" s="206" t="s">
        <v>560</v>
      </c>
      <c r="C32" s="201"/>
      <c r="D32" s="201"/>
      <c r="E32" s="202"/>
      <c r="F32" s="202"/>
      <c r="G32" s="214"/>
      <c r="H32" s="214"/>
      <c r="I32" s="214"/>
      <c r="J32" s="202">
        <f>(C32*D32*(1+H32/100)*I32*12)</f>
        <v>0</v>
      </c>
      <c r="K32" s="210" t="s">
        <v>563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191"/>
      <c r="AB32" s="191"/>
      <c r="AC32" s="191"/>
      <c r="AD32" s="191"/>
      <c r="AE32" s="191"/>
    </row>
    <row r="33" spans="1:31" ht="15.75" customHeight="1">
      <c r="A33" s="205"/>
      <c r="B33" s="212" t="s">
        <v>561</v>
      </c>
      <c r="C33" s="201" t="s">
        <v>562</v>
      </c>
      <c r="D33" s="201"/>
      <c r="E33" s="202" t="s">
        <v>562</v>
      </c>
      <c r="F33" s="202" t="s">
        <v>562</v>
      </c>
      <c r="G33" s="214" t="s">
        <v>562</v>
      </c>
      <c r="H33" s="214" t="s">
        <v>562</v>
      </c>
      <c r="I33" s="214" t="s">
        <v>562</v>
      </c>
      <c r="J33" s="202">
        <f>SUM(J29:J32)</f>
        <v>0</v>
      </c>
      <c r="K33" s="202" t="s">
        <v>562</v>
      </c>
      <c r="L33" s="408">
        <f>J20+G105</f>
        <v>26746076.04</v>
      </c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12" ht="15.75" customHeight="1">
      <c r="A34" s="736" t="s">
        <v>561</v>
      </c>
      <c r="B34" s="737"/>
      <c r="C34" s="215" t="s">
        <v>562</v>
      </c>
      <c r="D34" s="216"/>
      <c r="E34" s="216"/>
      <c r="F34" s="216"/>
      <c r="G34" s="216"/>
      <c r="H34" s="216"/>
      <c r="I34" s="216"/>
      <c r="J34" s="217" t="s">
        <v>562</v>
      </c>
      <c r="K34" s="218"/>
      <c r="L34" s="386">
        <f>J28+G105</f>
        <v>36989539.598000005</v>
      </c>
    </row>
    <row r="35" spans="1:11" ht="15.75" customHeight="1">
      <c r="A35" s="191"/>
      <c r="B35" s="219"/>
      <c r="C35" s="220"/>
      <c r="D35" s="219"/>
      <c r="E35" s="219"/>
      <c r="F35" s="219"/>
      <c r="G35" s="219"/>
      <c r="H35" s="219"/>
      <c r="I35" s="219"/>
      <c r="J35" s="541">
        <f>J20-K35</f>
        <v>0</v>
      </c>
      <c r="K35" s="542">
        <v>18163403.97</v>
      </c>
    </row>
    <row r="36" spans="2:31" ht="15.75" customHeight="1" hidden="1">
      <c r="B36" s="193" t="s">
        <v>862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2:31" ht="15.75" customHeight="1" hidden="1">
      <c r="B37" s="185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83" ht="15.75" customHeight="1" hidden="1">
      <c r="A38" s="739" t="s">
        <v>545</v>
      </c>
      <c r="B38" s="740" t="s">
        <v>546</v>
      </c>
      <c r="C38" s="740" t="s">
        <v>547</v>
      </c>
      <c r="D38" s="743" t="s">
        <v>548</v>
      </c>
      <c r="E38" s="744"/>
      <c r="F38" s="744"/>
      <c r="G38" s="745"/>
      <c r="H38" s="730" t="s">
        <v>549</v>
      </c>
      <c r="I38" s="730" t="s">
        <v>550</v>
      </c>
      <c r="J38" s="730" t="s">
        <v>551</v>
      </c>
      <c r="K38" s="733" t="s">
        <v>552</v>
      </c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1"/>
      <c r="BY38" s="191"/>
      <c r="BZ38" s="191"/>
      <c r="CA38" s="191"/>
      <c r="CB38" s="191"/>
      <c r="CC38" s="191"/>
      <c r="CD38" s="191"/>
      <c r="CE38" s="191"/>
    </row>
    <row r="39" spans="1:73" ht="15.75" customHeight="1" hidden="1">
      <c r="A39" s="739"/>
      <c r="B39" s="741"/>
      <c r="C39" s="741"/>
      <c r="D39" s="195" t="s">
        <v>36</v>
      </c>
      <c r="E39" s="734" t="s">
        <v>4</v>
      </c>
      <c r="F39" s="735"/>
      <c r="G39" s="735"/>
      <c r="H39" s="731"/>
      <c r="I39" s="731"/>
      <c r="J39" s="731"/>
      <c r="K39" s="733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</row>
    <row r="40" spans="1:31" ht="42" customHeight="1" hidden="1">
      <c r="A40" s="739"/>
      <c r="B40" s="742"/>
      <c r="C40" s="742"/>
      <c r="D40" s="197"/>
      <c r="E40" s="198" t="s">
        <v>553</v>
      </c>
      <c r="F40" s="198" t="s">
        <v>554</v>
      </c>
      <c r="G40" s="196" t="s">
        <v>555</v>
      </c>
      <c r="H40" s="732"/>
      <c r="I40" s="732"/>
      <c r="J40" s="732"/>
      <c r="K40" s="733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1"/>
      <c r="AB40" s="191"/>
      <c r="AC40" s="191"/>
      <c r="AD40" s="191"/>
      <c r="AE40" s="191"/>
    </row>
    <row r="41" spans="1:31" ht="15.75" customHeight="1" hidden="1">
      <c r="A41" s="199">
        <v>1</v>
      </c>
      <c r="B41" s="200">
        <v>2</v>
      </c>
      <c r="C41" s="200">
        <v>3</v>
      </c>
      <c r="D41" s="201">
        <v>4</v>
      </c>
      <c r="E41" s="202">
        <v>5</v>
      </c>
      <c r="F41" s="203">
        <v>6</v>
      </c>
      <c r="G41" s="200">
        <v>7</v>
      </c>
      <c r="H41" s="200">
        <v>8</v>
      </c>
      <c r="I41" s="200">
        <v>9</v>
      </c>
      <c r="J41" s="203">
        <v>10</v>
      </c>
      <c r="K41" s="203">
        <v>11</v>
      </c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191"/>
      <c r="AB41" s="191"/>
      <c r="AC41" s="191"/>
      <c r="AD41" s="191"/>
      <c r="AE41" s="191"/>
    </row>
    <row r="42" spans="1:31" ht="15.75" customHeight="1" hidden="1">
      <c r="A42" s="205"/>
      <c r="B42" s="206" t="s">
        <v>556</v>
      </c>
      <c r="C42" s="207">
        <v>3</v>
      </c>
      <c r="D42" s="207">
        <f>SUM(E42:H42)</f>
        <v>34879.55</v>
      </c>
      <c r="E42" s="207">
        <v>9882.12</v>
      </c>
      <c r="F42" s="207">
        <v>7471</v>
      </c>
      <c r="G42" s="207">
        <f>17528.07-1.64</f>
        <v>17526.43</v>
      </c>
      <c r="H42" s="214">
        <v>0</v>
      </c>
      <c r="I42" s="214">
        <v>1.15</v>
      </c>
      <c r="J42" s="209"/>
      <c r="K42" s="210" t="s">
        <v>557</v>
      </c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191"/>
      <c r="AB42" s="191"/>
      <c r="AC42" s="191"/>
      <c r="AD42" s="191"/>
      <c r="AE42" s="191"/>
    </row>
    <row r="43" spans="1:31" ht="15.75" customHeight="1" hidden="1">
      <c r="A43" s="205"/>
      <c r="B43" s="206" t="s">
        <v>558</v>
      </c>
      <c r="C43" s="207">
        <v>13</v>
      </c>
      <c r="D43" s="207">
        <f>SUM(E43:H43)</f>
        <v>22395.54</v>
      </c>
      <c r="E43" s="207">
        <v>9216.89</v>
      </c>
      <c r="F43" s="207">
        <v>1083.63</v>
      </c>
      <c r="G43" s="207">
        <f>12875.02-780</f>
        <v>12095.02</v>
      </c>
      <c r="H43" s="214">
        <v>0</v>
      </c>
      <c r="I43" s="214">
        <v>1.15</v>
      </c>
      <c r="J43" s="209"/>
      <c r="K43" s="210" t="s">
        <v>557</v>
      </c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191"/>
      <c r="AB43" s="191"/>
      <c r="AC43" s="191"/>
      <c r="AD43" s="191"/>
      <c r="AE43" s="191"/>
    </row>
    <row r="44" spans="1:31" ht="15.75" customHeight="1" hidden="1">
      <c r="A44" s="205"/>
      <c r="B44" s="206" t="s">
        <v>559</v>
      </c>
      <c r="C44" s="207">
        <v>6</v>
      </c>
      <c r="D44" s="207">
        <f>SUM(E44:H44)</f>
        <v>23808.4</v>
      </c>
      <c r="E44" s="207">
        <v>7027.4</v>
      </c>
      <c r="F44" s="207">
        <v>1151.08</v>
      </c>
      <c r="G44" s="207">
        <v>15629.92</v>
      </c>
      <c r="H44" s="214">
        <v>0</v>
      </c>
      <c r="I44" s="214">
        <v>1.15</v>
      </c>
      <c r="J44" s="209"/>
      <c r="K44" s="210" t="s">
        <v>557</v>
      </c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191"/>
      <c r="AB44" s="191"/>
      <c r="AC44" s="191"/>
      <c r="AD44" s="191"/>
      <c r="AE44" s="191"/>
    </row>
    <row r="45" spans="1:31" ht="15.75" customHeight="1" hidden="1">
      <c r="A45" s="205"/>
      <c r="B45" s="206" t="s">
        <v>560</v>
      </c>
      <c r="C45" s="207">
        <v>14</v>
      </c>
      <c r="D45" s="207">
        <f>SUM(E45:H45)</f>
        <v>13886.76</v>
      </c>
      <c r="E45" s="207">
        <v>4835.77</v>
      </c>
      <c r="F45" s="207">
        <v>2673.62</v>
      </c>
      <c r="G45" s="207">
        <v>6377.37</v>
      </c>
      <c r="H45" s="214">
        <v>0</v>
      </c>
      <c r="I45" s="214">
        <v>1.15</v>
      </c>
      <c r="J45" s="209"/>
      <c r="K45" s="210" t="s">
        <v>557</v>
      </c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191"/>
      <c r="AB45" s="191"/>
      <c r="AC45" s="191"/>
      <c r="AD45" s="191"/>
      <c r="AE45" s="191"/>
    </row>
    <row r="46" spans="1:31" ht="15.75" customHeight="1" hidden="1">
      <c r="A46" s="205"/>
      <c r="B46" s="212" t="s">
        <v>561</v>
      </c>
      <c r="C46" s="201" t="s">
        <v>562</v>
      </c>
      <c r="D46" s="201"/>
      <c r="E46" s="202" t="s">
        <v>562</v>
      </c>
      <c r="F46" s="202" t="s">
        <v>562</v>
      </c>
      <c r="G46" s="214" t="s">
        <v>562</v>
      </c>
      <c r="H46" s="214" t="s">
        <v>562</v>
      </c>
      <c r="I46" s="214" t="s">
        <v>562</v>
      </c>
      <c r="J46" s="209"/>
      <c r="K46" s="202" t="s">
        <v>562</v>
      </c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191"/>
      <c r="AB46" s="191"/>
      <c r="AC46" s="191"/>
      <c r="AD46" s="191"/>
      <c r="AE46" s="191"/>
    </row>
    <row r="47" spans="1:31" ht="15.75" customHeight="1" hidden="1">
      <c r="A47" s="205"/>
      <c r="B47" s="206" t="s">
        <v>556</v>
      </c>
      <c r="C47" s="201"/>
      <c r="D47" s="201"/>
      <c r="E47" s="202"/>
      <c r="F47" s="202"/>
      <c r="G47" s="214"/>
      <c r="H47" s="214"/>
      <c r="I47" s="214"/>
      <c r="J47" s="519">
        <f>(C47*D47*(1+H47/100)*I47*12)</f>
        <v>0</v>
      </c>
      <c r="K47" s="210" t="s">
        <v>563</v>
      </c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191"/>
      <c r="AB47" s="191"/>
      <c r="AC47" s="191"/>
      <c r="AD47" s="191"/>
      <c r="AE47" s="191"/>
    </row>
    <row r="48" spans="1:31" ht="15.75" customHeight="1" hidden="1">
      <c r="A48" s="205"/>
      <c r="B48" s="206" t="s">
        <v>558</v>
      </c>
      <c r="C48" s="201"/>
      <c r="D48" s="201"/>
      <c r="E48" s="202"/>
      <c r="F48" s="202"/>
      <c r="G48" s="214"/>
      <c r="H48" s="214"/>
      <c r="I48" s="214"/>
      <c r="J48" s="519">
        <f>(C48*D48*(1+H48/100)*I48*12)</f>
        <v>0</v>
      </c>
      <c r="K48" s="210" t="s">
        <v>563</v>
      </c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191"/>
      <c r="AB48" s="191"/>
      <c r="AC48" s="191"/>
      <c r="AD48" s="191"/>
      <c r="AE48" s="191"/>
    </row>
    <row r="49" spans="1:31" ht="15.75" customHeight="1" hidden="1">
      <c r="A49" s="205"/>
      <c r="B49" s="206" t="s">
        <v>559</v>
      </c>
      <c r="C49" s="201"/>
      <c r="D49" s="201"/>
      <c r="E49" s="202"/>
      <c r="F49" s="202"/>
      <c r="G49" s="214"/>
      <c r="H49" s="214"/>
      <c r="I49" s="214"/>
      <c r="J49" s="519">
        <f>(C49*D49*(1+H49/100)*I49*12)</f>
        <v>0</v>
      </c>
      <c r="K49" s="210" t="s">
        <v>563</v>
      </c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191"/>
      <c r="AB49" s="191"/>
      <c r="AC49" s="191"/>
      <c r="AD49" s="191"/>
      <c r="AE49" s="191"/>
    </row>
    <row r="50" spans="1:31" ht="15.75" customHeight="1" hidden="1">
      <c r="A50" s="205"/>
      <c r="B50" s="206" t="s">
        <v>560</v>
      </c>
      <c r="C50" s="201"/>
      <c r="D50" s="201"/>
      <c r="E50" s="202"/>
      <c r="F50" s="202"/>
      <c r="G50" s="214"/>
      <c r="H50" s="214"/>
      <c r="I50" s="214"/>
      <c r="J50" s="519">
        <f>(C50*D50*(1+H50/100)*I50*12)</f>
        <v>0</v>
      </c>
      <c r="K50" s="210" t="s">
        <v>563</v>
      </c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191"/>
      <c r="AB50" s="191"/>
      <c r="AC50" s="191"/>
      <c r="AD50" s="191"/>
      <c r="AE50" s="191"/>
    </row>
    <row r="51" spans="1:31" ht="15.75" customHeight="1" hidden="1">
      <c r="A51" s="205"/>
      <c r="B51" s="212" t="s">
        <v>561</v>
      </c>
      <c r="C51" s="201" t="s">
        <v>562</v>
      </c>
      <c r="D51" s="201"/>
      <c r="E51" s="202" t="s">
        <v>562</v>
      </c>
      <c r="F51" s="202" t="s">
        <v>562</v>
      </c>
      <c r="G51" s="214" t="s">
        <v>562</v>
      </c>
      <c r="H51" s="214" t="s">
        <v>562</v>
      </c>
      <c r="I51" s="214" t="s">
        <v>562</v>
      </c>
      <c r="J51" s="519">
        <f>SUM(J47:J50)</f>
        <v>0</v>
      </c>
      <c r="K51" s="202" t="s">
        <v>562</v>
      </c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11" ht="15.75" customHeight="1" hidden="1">
      <c r="A52" s="736" t="s">
        <v>561</v>
      </c>
      <c r="B52" s="737"/>
      <c r="C52" s="520"/>
      <c r="D52" s="216"/>
      <c r="E52" s="216"/>
      <c r="F52" s="216"/>
      <c r="G52" s="216"/>
      <c r="H52" s="216"/>
      <c r="I52" s="216"/>
      <c r="J52" s="521">
        <f>J46+J51</f>
        <v>0</v>
      </c>
      <c r="K52" s="218"/>
    </row>
    <row r="53" spans="1:11" ht="15.75" customHeight="1">
      <c r="A53" s="191"/>
      <c r="B53" s="219"/>
      <c r="C53" s="220"/>
      <c r="D53" s="219"/>
      <c r="E53" s="219"/>
      <c r="F53" s="219"/>
      <c r="G53" s="219"/>
      <c r="H53" s="219"/>
      <c r="I53" s="219"/>
      <c r="J53" s="541">
        <f>J52-K53</f>
        <v>-10116030.69</v>
      </c>
      <c r="K53" s="542">
        <v>10116030.69</v>
      </c>
    </row>
    <row r="54" spans="1:11" ht="15.75" customHeight="1">
      <c r="A54" s="191"/>
      <c r="B54" s="219"/>
      <c r="C54" s="220"/>
      <c r="D54" s="219"/>
      <c r="E54" s="219"/>
      <c r="F54" s="219"/>
      <c r="G54" s="219"/>
      <c r="H54" s="219"/>
      <c r="I54" s="219"/>
      <c r="J54" s="221"/>
      <c r="K54" s="222"/>
    </row>
    <row r="55" spans="1:11" ht="208.5" customHeight="1">
      <c r="A55" s="738" t="s">
        <v>564</v>
      </c>
      <c r="B55" s="738"/>
      <c r="C55" s="738"/>
      <c r="D55" s="738"/>
      <c r="E55" s="738"/>
      <c r="F55" s="738"/>
      <c r="G55" s="738"/>
      <c r="H55" s="738"/>
      <c r="I55" s="738"/>
      <c r="J55" s="738"/>
      <c r="K55" s="738"/>
    </row>
    <row r="56" spans="2:11" ht="15.75" customHeight="1">
      <c r="B56" s="728"/>
      <c r="C56" s="728"/>
      <c r="D56" s="728"/>
      <c r="E56" s="728"/>
      <c r="F56" s="728"/>
      <c r="G56" s="728"/>
      <c r="H56" s="728"/>
      <c r="I56" s="728"/>
      <c r="J56" s="728"/>
      <c r="K56" s="728"/>
    </row>
    <row r="57" spans="2:9" ht="21" customHeight="1">
      <c r="B57" s="729" t="s">
        <v>565</v>
      </c>
      <c r="C57" s="729"/>
      <c r="D57" s="729"/>
      <c r="E57" s="729"/>
      <c r="F57" s="729"/>
      <c r="G57" s="729"/>
      <c r="H57" s="729"/>
      <c r="I57" s="729"/>
    </row>
    <row r="59" spans="1:9" ht="26.25" customHeight="1">
      <c r="A59" s="674" t="s">
        <v>545</v>
      </c>
      <c r="B59" s="676" t="s">
        <v>566</v>
      </c>
      <c r="C59" s="676" t="s">
        <v>567</v>
      </c>
      <c r="D59" s="676" t="s">
        <v>568</v>
      </c>
      <c r="E59" s="676" t="s">
        <v>569</v>
      </c>
      <c r="F59" s="716" t="s">
        <v>570</v>
      </c>
      <c r="G59" s="717"/>
      <c r="H59" s="718"/>
      <c r="I59" s="225"/>
    </row>
    <row r="60" spans="1:9" ht="39.75" customHeight="1">
      <c r="A60" s="675"/>
      <c r="B60" s="677"/>
      <c r="C60" s="677"/>
      <c r="D60" s="677"/>
      <c r="E60" s="677"/>
      <c r="F60" s="226" t="s">
        <v>33</v>
      </c>
      <c r="G60" s="224" t="s">
        <v>557</v>
      </c>
      <c r="H60" s="226" t="s">
        <v>563</v>
      </c>
      <c r="I60" s="227"/>
    </row>
    <row r="61" spans="1:9" ht="15.75">
      <c r="A61" s="205">
        <v>1</v>
      </c>
      <c r="B61" s="228">
        <v>2</v>
      </c>
      <c r="C61" s="228">
        <v>3</v>
      </c>
      <c r="D61" s="228">
        <v>4</v>
      </c>
      <c r="E61" s="228">
        <v>5</v>
      </c>
      <c r="F61" s="228">
        <v>6</v>
      </c>
      <c r="G61" s="229">
        <v>7</v>
      </c>
      <c r="H61" s="228">
        <v>8</v>
      </c>
      <c r="I61" s="230"/>
    </row>
    <row r="62" spans="1:9" ht="15.75">
      <c r="A62" s="205"/>
      <c r="B62" s="199"/>
      <c r="C62" s="205"/>
      <c r="D62" s="205"/>
      <c r="E62" s="205"/>
      <c r="F62" s="231"/>
      <c r="G62" s="232"/>
      <c r="H62" s="231"/>
      <c r="I62" s="191"/>
    </row>
    <row r="63" spans="1:9" ht="15.75">
      <c r="A63" s="205"/>
      <c r="B63" s="199"/>
      <c r="C63" s="205"/>
      <c r="D63" s="205"/>
      <c r="E63" s="205"/>
      <c r="F63" s="205"/>
      <c r="G63" s="232"/>
      <c r="H63" s="231"/>
      <c r="I63" s="191"/>
    </row>
    <row r="64" spans="1:9" ht="15.75">
      <c r="A64" s="649" t="s">
        <v>571</v>
      </c>
      <c r="B64" s="651"/>
      <c r="C64" s="199" t="s">
        <v>562</v>
      </c>
      <c r="D64" s="199" t="s">
        <v>562</v>
      </c>
      <c r="E64" s="199" t="s">
        <v>562</v>
      </c>
      <c r="F64" s="205"/>
      <c r="G64" s="232"/>
      <c r="H64" s="231"/>
      <c r="I64" s="191"/>
    </row>
    <row r="66" spans="2:6" ht="15.75">
      <c r="B66" s="727" t="s">
        <v>950</v>
      </c>
      <c r="C66" s="727"/>
      <c r="D66" s="727"/>
      <c r="E66" s="727"/>
      <c r="F66" s="727"/>
    </row>
    <row r="68" spans="1:9" ht="26.25" customHeight="1">
      <c r="A68" s="674" t="s">
        <v>545</v>
      </c>
      <c r="B68" s="676" t="s">
        <v>566</v>
      </c>
      <c r="C68" s="676" t="s">
        <v>573</v>
      </c>
      <c r="D68" s="676" t="s">
        <v>574</v>
      </c>
      <c r="E68" s="676" t="s">
        <v>575</v>
      </c>
      <c r="F68" s="652" t="s">
        <v>570</v>
      </c>
      <c r="G68" s="652"/>
      <c r="H68" s="652"/>
      <c r="I68" s="225"/>
    </row>
    <row r="69" spans="1:9" ht="51" customHeight="1">
      <c r="A69" s="675"/>
      <c r="B69" s="677"/>
      <c r="C69" s="677"/>
      <c r="D69" s="677"/>
      <c r="E69" s="677"/>
      <c r="F69" s="226" t="s">
        <v>33</v>
      </c>
      <c r="G69" s="226" t="s">
        <v>557</v>
      </c>
      <c r="H69" s="226" t="s">
        <v>563</v>
      </c>
      <c r="I69" s="227"/>
    </row>
    <row r="70" spans="1:9" ht="15.75">
      <c r="A70" s="205">
        <v>1</v>
      </c>
      <c r="B70" s="228">
        <v>2</v>
      </c>
      <c r="C70" s="228">
        <v>3</v>
      </c>
      <c r="D70" s="228">
        <v>4</v>
      </c>
      <c r="E70" s="228">
        <v>5</v>
      </c>
      <c r="F70" s="228">
        <v>6</v>
      </c>
      <c r="G70" s="228">
        <v>7</v>
      </c>
      <c r="H70" s="228">
        <v>8</v>
      </c>
      <c r="I70" s="230"/>
    </row>
    <row r="71" spans="1:9" ht="31.5">
      <c r="A71" s="409">
        <v>1</v>
      </c>
      <c r="B71" s="522" t="s">
        <v>863</v>
      </c>
      <c r="C71" s="409">
        <v>3</v>
      </c>
      <c r="D71" s="409">
        <v>12</v>
      </c>
      <c r="E71" s="409">
        <v>57.5</v>
      </c>
      <c r="F71" s="231">
        <f>SUM(G71:H71)</f>
        <v>1333.3</v>
      </c>
      <c r="G71" s="231">
        <v>1333.3</v>
      </c>
      <c r="H71" s="231">
        <v>0</v>
      </c>
      <c r="I71" s="191"/>
    </row>
    <row r="72" spans="1:9" ht="47.25">
      <c r="A72" s="205">
        <v>2</v>
      </c>
      <c r="B72" s="235" t="s">
        <v>951</v>
      </c>
      <c r="C72" s="205"/>
      <c r="D72" s="205"/>
      <c r="E72" s="205"/>
      <c r="F72" s="231">
        <f>G72</f>
        <v>140000</v>
      </c>
      <c r="G72" s="231">
        <v>140000</v>
      </c>
      <c r="H72" s="231"/>
      <c r="I72" s="191"/>
    </row>
    <row r="73" spans="1:9" ht="15.75">
      <c r="A73" s="649" t="s">
        <v>571</v>
      </c>
      <c r="B73" s="651"/>
      <c r="C73" s="199" t="s">
        <v>562</v>
      </c>
      <c r="D73" s="199" t="s">
        <v>562</v>
      </c>
      <c r="E73" s="199" t="s">
        <v>562</v>
      </c>
      <c r="F73" s="205">
        <f>F71+F72</f>
        <v>141333.3</v>
      </c>
      <c r="G73" s="205">
        <f>G71+G72</f>
        <v>141333.3</v>
      </c>
      <c r="H73" s="231"/>
      <c r="I73" s="191"/>
    </row>
    <row r="75" spans="2:9" ht="33" customHeight="1">
      <c r="B75" s="726" t="s">
        <v>576</v>
      </c>
      <c r="C75" s="726"/>
      <c r="D75" s="726"/>
      <c r="E75" s="726"/>
      <c r="F75" s="726"/>
      <c r="G75" s="726"/>
      <c r="H75" s="726"/>
      <c r="I75" s="726"/>
    </row>
    <row r="77" spans="1:9" ht="31.5" customHeight="1">
      <c r="A77" s="670" t="s">
        <v>545</v>
      </c>
      <c r="B77" s="652" t="s">
        <v>577</v>
      </c>
      <c r="C77" s="652"/>
      <c r="D77" s="652"/>
      <c r="E77" s="676" t="s">
        <v>578</v>
      </c>
      <c r="F77" s="652" t="s">
        <v>579</v>
      </c>
      <c r="G77" s="652"/>
      <c r="H77" s="652"/>
      <c r="I77" s="233"/>
    </row>
    <row r="78" spans="1:9" ht="31.5" customHeight="1">
      <c r="A78" s="671"/>
      <c r="B78" s="652"/>
      <c r="C78" s="652"/>
      <c r="D78" s="652"/>
      <c r="E78" s="677"/>
      <c r="F78" s="226" t="s">
        <v>580</v>
      </c>
      <c r="G78" s="226" t="s">
        <v>557</v>
      </c>
      <c r="H78" s="226" t="s">
        <v>563</v>
      </c>
      <c r="I78" s="227"/>
    </row>
    <row r="79" spans="1:9" ht="17.25" customHeight="1">
      <c r="A79" s="234">
        <v>1</v>
      </c>
      <c r="B79" s="725">
        <v>2</v>
      </c>
      <c r="C79" s="725"/>
      <c r="D79" s="725"/>
      <c r="E79" s="199">
        <v>3</v>
      </c>
      <c r="F79" s="199">
        <v>4</v>
      </c>
      <c r="G79" s="199">
        <v>5</v>
      </c>
      <c r="H79" s="199">
        <v>6</v>
      </c>
      <c r="I79" s="236"/>
    </row>
    <row r="80" spans="1:9" s="187" customFormat="1" ht="32.25" customHeight="1">
      <c r="A80" s="237">
        <v>1</v>
      </c>
      <c r="B80" s="722" t="s">
        <v>581</v>
      </c>
      <c r="C80" s="723"/>
      <c r="D80" s="724"/>
      <c r="E80" s="231" t="s">
        <v>562</v>
      </c>
      <c r="F80" s="231">
        <f>G80</f>
        <v>3995952.9200000004</v>
      </c>
      <c r="G80" s="310">
        <f>G81</f>
        <v>3995952.9200000004</v>
      </c>
      <c r="H80" s="231"/>
      <c r="I80" s="191"/>
    </row>
    <row r="81" spans="1:9" ht="34.5" customHeight="1">
      <c r="A81" s="237" t="s">
        <v>582</v>
      </c>
      <c r="B81" s="722" t="s">
        <v>583</v>
      </c>
      <c r="C81" s="723"/>
      <c r="D81" s="724"/>
      <c r="E81" s="238">
        <f>J20</f>
        <v>18163403.97</v>
      </c>
      <c r="F81" s="238">
        <f>SUM(G81:H81)</f>
        <v>3995952.9200000004</v>
      </c>
      <c r="G81" s="238">
        <f>ROUND(E81*22%,2)-0.78+4.65+0.18</f>
        <v>3995952.9200000004</v>
      </c>
      <c r="H81" s="205"/>
      <c r="I81" s="191"/>
    </row>
    <row r="82" spans="1:9" ht="16.5" customHeight="1">
      <c r="A82" s="237" t="s">
        <v>584</v>
      </c>
      <c r="B82" s="722" t="s">
        <v>585</v>
      </c>
      <c r="C82" s="723"/>
      <c r="D82" s="724"/>
      <c r="E82" s="239">
        <v>0</v>
      </c>
      <c r="F82" s="239"/>
      <c r="G82" s="239"/>
      <c r="H82" s="205"/>
      <c r="I82" s="191"/>
    </row>
    <row r="83" spans="1:9" ht="34.5" customHeight="1">
      <c r="A83" s="237" t="s">
        <v>586</v>
      </c>
      <c r="B83" s="722" t="s">
        <v>587</v>
      </c>
      <c r="C83" s="723"/>
      <c r="D83" s="724"/>
      <c r="E83" s="239">
        <v>0</v>
      </c>
      <c r="F83" s="239"/>
      <c r="G83" s="239"/>
      <c r="H83" s="205"/>
      <c r="I83" s="191"/>
    </row>
    <row r="84" spans="1:9" ht="33" customHeight="1">
      <c r="A84" s="237" t="s">
        <v>588</v>
      </c>
      <c r="B84" s="722" t="s">
        <v>589</v>
      </c>
      <c r="C84" s="723"/>
      <c r="D84" s="724"/>
      <c r="E84" s="238">
        <f>SUM(F84:G84)</f>
        <v>0</v>
      </c>
      <c r="F84" s="238">
        <f>SUM(G84:H84)</f>
        <v>0</v>
      </c>
      <c r="G84" s="239"/>
      <c r="H84" s="205"/>
      <c r="I84" s="191"/>
    </row>
    <row r="85" spans="1:9" ht="41.25" customHeight="1">
      <c r="A85" s="237" t="s">
        <v>590</v>
      </c>
      <c r="B85" s="719" t="s">
        <v>591</v>
      </c>
      <c r="C85" s="720"/>
      <c r="D85" s="721"/>
      <c r="E85" s="238">
        <f>E81</f>
        <v>18163403.97</v>
      </c>
      <c r="F85" s="238">
        <f>SUM(G85:H85)</f>
        <v>526738.72</v>
      </c>
      <c r="G85" s="238">
        <f>ROUND(E85*2.9%,2)</f>
        <v>526738.72</v>
      </c>
      <c r="H85" s="205"/>
      <c r="I85" s="191"/>
    </row>
    <row r="86" spans="1:9" ht="34.5" customHeight="1">
      <c r="A86" s="237" t="s">
        <v>592</v>
      </c>
      <c r="B86" s="722" t="s">
        <v>593</v>
      </c>
      <c r="C86" s="723"/>
      <c r="D86" s="724"/>
      <c r="E86" s="239">
        <v>0</v>
      </c>
      <c r="F86" s="239"/>
      <c r="G86" s="239"/>
      <c r="H86" s="205"/>
      <c r="I86" s="191"/>
    </row>
    <row r="87" spans="1:9" ht="33.75" customHeight="1">
      <c r="A87" s="237" t="s">
        <v>594</v>
      </c>
      <c r="B87" s="722" t="s">
        <v>595</v>
      </c>
      <c r="C87" s="723"/>
      <c r="D87" s="724"/>
      <c r="E87" s="238">
        <f>E85</f>
        <v>18163403.97</v>
      </c>
      <c r="F87" s="238">
        <f>SUM(G87:H87)</f>
        <v>36326.81</v>
      </c>
      <c r="G87" s="238">
        <f>ROUND(E87*0.2%,2)</f>
        <v>36326.81</v>
      </c>
      <c r="H87" s="205"/>
      <c r="I87" s="191"/>
    </row>
    <row r="88" spans="1:9" ht="33.75" customHeight="1">
      <c r="A88" s="237" t="s">
        <v>596</v>
      </c>
      <c r="B88" s="722" t="s">
        <v>597</v>
      </c>
      <c r="C88" s="723"/>
      <c r="D88" s="724"/>
      <c r="E88" s="239">
        <v>0</v>
      </c>
      <c r="F88" s="239"/>
      <c r="G88" s="239"/>
      <c r="H88" s="205"/>
      <c r="I88" s="191"/>
    </row>
    <row r="89" spans="1:9" ht="39.75" customHeight="1">
      <c r="A89" s="237" t="s">
        <v>598</v>
      </c>
      <c r="B89" s="722" t="s">
        <v>597</v>
      </c>
      <c r="C89" s="723"/>
      <c r="D89" s="724"/>
      <c r="E89" s="239">
        <v>0</v>
      </c>
      <c r="F89" s="239"/>
      <c r="G89" s="239"/>
      <c r="H89" s="205"/>
      <c r="I89" s="191"/>
    </row>
    <row r="90" spans="1:9" ht="30" customHeight="1">
      <c r="A90" s="237" t="s">
        <v>599</v>
      </c>
      <c r="B90" s="722" t="s">
        <v>600</v>
      </c>
      <c r="C90" s="723"/>
      <c r="D90" s="724"/>
      <c r="E90" s="238">
        <f>E87</f>
        <v>18163403.97</v>
      </c>
      <c r="F90" s="238">
        <f>SUM(G90:H90)</f>
        <v>926333.6</v>
      </c>
      <c r="G90" s="238">
        <f>ROUND(E90*5.1%,2)</f>
        <v>926333.6</v>
      </c>
      <c r="H90" s="205"/>
      <c r="I90" s="191"/>
    </row>
    <row r="91" spans="1:9" ht="30" customHeight="1">
      <c r="A91" s="237"/>
      <c r="B91" s="722" t="s">
        <v>581</v>
      </c>
      <c r="C91" s="723"/>
      <c r="D91" s="724"/>
      <c r="E91" s="231" t="s">
        <v>562</v>
      </c>
      <c r="F91" s="261">
        <f>SUM(F92)</f>
        <v>2256326.75</v>
      </c>
      <c r="G91" s="261">
        <f>SUM(G92)</f>
        <v>2256326.75</v>
      </c>
      <c r="H91" s="261">
        <f>SUM(H92)</f>
        <v>0</v>
      </c>
      <c r="I91" s="191"/>
    </row>
    <row r="92" spans="1:9" ht="30" customHeight="1">
      <c r="A92" s="237"/>
      <c r="B92" s="722" t="s">
        <v>583</v>
      </c>
      <c r="C92" s="723"/>
      <c r="D92" s="724"/>
      <c r="E92" s="261">
        <f>J25</f>
        <v>10116030.688000001</v>
      </c>
      <c r="F92" s="261">
        <f>SUM(G92:H92)</f>
        <v>2256326.75</v>
      </c>
      <c r="G92" s="261">
        <v>2256326.75</v>
      </c>
      <c r="H92" s="261">
        <v>0</v>
      </c>
      <c r="I92" s="191"/>
    </row>
    <row r="93" spans="1:9" ht="30" customHeight="1">
      <c r="A93" s="237"/>
      <c r="B93" s="722" t="s">
        <v>585</v>
      </c>
      <c r="C93" s="723"/>
      <c r="D93" s="724"/>
      <c r="E93" s="205"/>
      <c r="F93" s="205"/>
      <c r="G93" s="409"/>
      <c r="H93" s="231"/>
      <c r="I93" s="191"/>
    </row>
    <row r="94" spans="1:9" ht="30" customHeight="1">
      <c r="A94" s="237"/>
      <c r="B94" s="722" t="s">
        <v>587</v>
      </c>
      <c r="C94" s="723"/>
      <c r="D94" s="724"/>
      <c r="E94" s="205"/>
      <c r="F94" s="205"/>
      <c r="G94" s="523"/>
      <c r="H94" s="354"/>
      <c r="I94" s="191"/>
    </row>
    <row r="95" spans="1:9" ht="30" customHeight="1">
      <c r="A95" s="237"/>
      <c r="B95" s="722" t="s">
        <v>589</v>
      </c>
      <c r="C95" s="723"/>
      <c r="D95" s="724"/>
      <c r="E95" s="231" t="s">
        <v>562</v>
      </c>
      <c r="F95" s="354">
        <f>SUM(F96+F98)</f>
        <v>317935.71</v>
      </c>
      <c r="G95" s="354">
        <f>SUM(G96+G98)</f>
        <v>317935.71</v>
      </c>
      <c r="H95" s="354">
        <f>SUM(H96+H98)</f>
        <v>0</v>
      </c>
      <c r="I95" s="191"/>
    </row>
    <row r="96" spans="1:9" ht="30" customHeight="1">
      <c r="A96" s="237"/>
      <c r="B96" s="719" t="s">
        <v>591</v>
      </c>
      <c r="C96" s="720"/>
      <c r="D96" s="721"/>
      <c r="E96" s="261">
        <f>E92</f>
        <v>10116030.688000001</v>
      </c>
      <c r="F96" s="261">
        <f>SUM(G96:H96)</f>
        <v>297423.65</v>
      </c>
      <c r="G96" s="354">
        <v>297423.65</v>
      </c>
      <c r="H96" s="354">
        <v>0</v>
      </c>
      <c r="I96" s="191"/>
    </row>
    <row r="97" spans="1:9" ht="30" customHeight="1">
      <c r="A97" s="237"/>
      <c r="B97" s="722" t="s">
        <v>593</v>
      </c>
      <c r="C97" s="723"/>
      <c r="D97" s="724"/>
      <c r="E97" s="205"/>
      <c r="F97" s="205"/>
      <c r="G97" s="354"/>
      <c r="H97" s="354"/>
      <c r="I97" s="191"/>
    </row>
    <row r="98" spans="1:9" ht="30" customHeight="1">
      <c r="A98" s="237"/>
      <c r="B98" s="722" t="s">
        <v>595</v>
      </c>
      <c r="C98" s="723"/>
      <c r="D98" s="724"/>
      <c r="E98" s="261">
        <f>E96</f>
        <v>10116030.688000001</v>
      </c>
      <c r="F98" s="261">
        <f>SUM(G98:H98)</f>
        <v>20512.06</v>
      </c>
      <c r="G98" s="354">
        <v>20512.06</v>
      </c>
      <c r="H98" s="354">
        <v>0</v>
      </c>
      <c r="I98" s="191"/>
    </row>
    <row r="99" spans="1:9" ht="30" customHeight="1">
      <c r="A99" s="237"/>
      <c r="B99" s="722" t="s">
        <v>597</v>
      </c>
      <c r="C99" s="723"/>
      <c r="D99" s="724"/>
      <c r="E99" s="205"/>
      <c r="F99" s="205"/>
      <c r="G99" s="354"/>
      <c r="H99" s="354"/>
      <c r="I99" s="191"/>
    </row>
    <row r="100" spans="1:9" ht="30" customHeight="1">
      <c r="A100" s="237"/>
      <c r="B100" s="722" t="s">
        <v>597</v>
      </c>
      <c r="C100" s="723"/>
      <c r="D100" s="724"/>
      <c r="E100" s="205"/>
      <c r="F100" s="205"/>
      <c r="G100" s="354"/>
      <c r="H100" s="354"/>
      <c r="I100" s="191"/>
    </row>
    <row r="101" spans="1:9" ht="30" customHeight="1">
      <c r="A101" s="237"/>
      <c r="B101" s="722" t="s">
        <v>600</v>
      </c>
      <c r="C101" s="723"/>
      <c r="D101" s="724"/>
      <c r="E101" s="261">
        <f>E98</f>
        <v>10116030.688000001</v>
      </c>
      <c r="F101" s="261">
        <f>SUM(G101:H101)</f>
        <v>523057.57</v>
      </c>
      <c r="G101" s="354">
        <v>523057.57</v>
      </c>
      <c r="H101" s="354">
        <v>0</v>
      </c>
      <c r="I101" s="191"/>
    </row>
    <row r="102" spans="1:9" ht="30" customHeight="1">
      <c r="A102" s="237"/>
      <c r="B102" s="557"/>
      <c r="C102" s="558"/>
      <c r="D102" s="559"/>
      <c r="E102" s="238"/>
      <c r="F102" s="238"/>
      <c r="G102" s="238"/>
      <c r="H102" s="205"/>
      <c r="I102" s="191"/>
    </row>
    <row r="103" spans="1:9" ht="30" customHeight="1">
      <c r="A103" s="237"/>
      <c r="B103" s="557"/>
      <c r="C103" s="558"/>
      <c r="D103" s="559"/>
      <c r="E103" s="238"/>
      <c r="F103" s="238"/>
      <c r="G103" s="238"/>
      <c r="H103" s="205"/>
      <c r="I103" s="191"/>
    </row>
    <row r="104" spans="1:9" ht="30" customHeight="1">
      <c r="A104" s="237"/>
      <c r="B104" s="557"/>
      <c r="C104" s="558"/>
      <c r="D104" s="559"/>
      <c r="E104" s="238"/>
      <c r="F104" s="238"/>
      <c r="G104" s="238"/>
      <c r="H104" s="205"/>
      <c r="I104" s="191"/>
    </row>
    <row r="105" spans="1:9" ht="30.75" customHeight="1">
      <c r="A105" s="712" t="s">
        <v>571</v>
      </c>
      <c r="B105" s="712"/>
      <c r="C105" s="712"/>
      <c r="D105" s="712"/>
      <c r="E105" s="239" t="s">
        <v>562</v>
      </c>
      <c r="F105" s="240">
        <f>SUM(F81:F90)-0.01+F92+F95+F101</f>
        <v>8582672.07</v>
      </c>
      <c r="G105" s="240">
        <f>SUM(G81:G90)-0.01+G92+G95+G101</f>
        <v>8582672.07</v>
      </c>
      <c r="H105" s="241">
        <f>H80+H84+H90</f>
        <v>0</v>
      </c>
      <c r="I105" s="191"/>
    </row>
    <row r="106" spans="2:6" ht="16.5" customHeight="1">
      <c r="B106" s="242"/>
      <c r="C106" s="242"/>
      <c r="D106" s="242"/>
      <c r="E106" s="236"/>
      <c r="F106" s="191"/>
    </row>
    <row r="107" spans="2:9" ht="33.75" customHeight="1" hidden="1">
      <c r="B107" s="726" t="s">
        <v>864</v>
      </c>
      <c r="C107" s="726"/>
      <c r="D107" s="726"/>
      <c r="E107" s="726"/>
      <c r="F107" s="726"/>
      <c r="G107" s="726"/>
      <c r="H107" s="726"/>
      <c r="I107" s="726"/>
    </row>
    <row r="108" spans="2:6" ht="16.5" customHeight="1" hidden="1">
      <c r="B108" s="242"/>
      <c r="C108" s="242"/>
      <c r="D108" s="242"/>
      <c r="E108" s="236"/>
      <c r="F108" s="191"/>
    </row>
    <row r="109" spans="1:9" ht="16.5" customHeight="1" hidden="1">
      <c r="A109" s="670" t="s">
        <v>545</v>
      </c>
      <c r="B109" s="652" t="s">
        <v>577</v>
      </c>
      <c r="C109" s="652"/>
      <c r="D109" s="652"/>
      <c r="E109" s="676" t="s">
        <v>578</v>
      </c>
      <c r="F109" s="652" t="s">
        <v>579</v>
      </c>
      <c r="G109" s="652"/>
      <c r="H109" s="652"/>
      <c r="I109" s="233"/>
    </row>
    <row r="110" spans="1:9" ht="16.5" customHeight="1" hidden="1">
      <c r="A110" s="671"/>
      <c r="B110" s="652"/>
      <c r="C110" s="652"/>
      <c r="D110" s="652"/>
      <c r="E110" s="677"/>
      <c r="F110" s="226" t="s">
        <v>580</v>
      </c>
      <c r="G110" s="226" t="s">
        <v>557</v>
      </c>
      <c r="H110" s="226" t="s">
        <v>563</v>
      </c>
      <c r="I110" s="227"/>
    </row>
    <row r="111" spans="1:9" ht="16.5" customHeight="1" hidden="1">
      <c r="A111" s="234">
        <v>1</v>
      </c>
      <c r="B111" s="725">
        <v>2</v>
      </c>
      <c r="C111" s="725"/>
      <c r="D111" s="725"/>
      <c r="E111" s="199">
        <v>3</v>
      </c>
      <c r="F111" s="199">
        <v>4</v>
      </c>
      <c r="G111" s="199">
        <v>5</v>
      </c>
      <c r="H111" s="199">
        <v>6</v>
      </c>
      <c r="I111" s="236"/>
    </row>
    <row r="112" spans="1:9" s="187" customFormat="1" ht="16.5" customHeight="1" hidden="1">
      <c r="A112" s="237">
        <v>1</v>
      </c>
      <c r="B112" s="722" t="s">
        <v>581</v>
      </c>
      <c r="C112" s="723"/>
      <c r="D112" s="724"/>
      <c r="E112" s="231" t="s">
        <v>562</v>
      </c>
      <c r="F112" s="261"/>
      <c r="G112" s="261"/>
      <c r="H112" s="261">
        <f>SUM(H113)</f>
        <v>0</v>
      </c>
      <c r="I112" s="191"/>
    </row>
    <row r="113" spans="1:9" ht="31.5" customHeight="1" hidden="1">
      <c r="A113" s="237" t="s">
        <v>582</v>
      </c>
      <c r="B113" s="722" t="s">
        <v>583</v>
      </c>
      <c r="C113" s="723"/>
      <c r="D113" s="724"/>
      <c r="E113" s="261">
        <f>J52</f>
        <v>0</v>
      </c>
      <c r="F113" s="261"/>
      <c r="G113" s="261"/>
      <c r="H113" s="261">
        <v>0</v>
      </c>
      <c r="I113" s="191"/>
    </row>
    <row r="114" spans="1:9" ht="16.5" customHeight="1" hidden="1">
      <c r="A114" s="237" t="s">
        <v>584</v>
      </c>
      <c r="B114" s="722" t="s">
        <v>585</v>
      </c>
      <c r="C114" s="723"/>
      <c r="D114" s="724"/>
      <c r="E114" s="205"/>
      <c r="F114" s="205"/>
      <c r="G114" s="409"/>
      <c r="H114" s="231"/>
      <c r="I114" s="191"/>
    </row>
    <row r="115" spans="1:9" ht="16.5" customHeight="1" hidden="1">
      <c r="A115" s="237" t="s">
        <v>586</v>
      </c>
      <c r="B115" s="722" t="s">
        <v>587</v>
      </c>
      <c r="C115" s="723"/>
      <c r="D115" s="724"/>
      <c r="E115" s="205"/>
      <c r="F115" s="205"/>
      <c r="G115" s="523"/>
      <c r="H115" s="354"/>
      <c r="I115" s="191"/>
    </row>
    <row r="116" spans="1:9" ht="33" customHeight="1" hidden="1">
      <c r="A116" s="237" t="s">
        <v>588</v>
      </c>
      <c r="B116" s="722" t="s">
        <v>589</v>
      </c>
      <c r="C116" s="723"/>
      <c r="D116" s="724"/>
      <c r="E116" s="231" t="s">
        <v>562</v>
      </c>
      <c r="F116" s="354"/>
      <c r="G116" s="354"/>
      <c r="H116" s="354">
        <f>SUM(H117+H119)</f>
        <v>0</v>
      </c>
      <c r="I116" s="191"/>
    </row>
    <row r="117" spans="1:9" ht="42.75" customHeight="1" hidden="1">
      <c r="A117" s="237" t="s">
        <v>590</v>
      </c>
      <c r="B117" s="719" t="s">
        <v>591</v>
      </c>
      <c r="C117" s="720"/>
      <c r="D117" s="721"/>
      <c r="E117" s="261">
        <f>E113</f>
        <v>0</v>
      </c>
      <c r="F117" s="261"/>
      <c r="G117" s="354"/>
      <c r="H117" s="354">
        <v>0</v>
      </c>
      <c r="I117" s="191"/>
    </row>
    <row r="118" spans="1:9" ht="30" customHeight="1" hidden="1">
      <c r="A118" s="237" t="s">
        <v>592</v>
      </c>
      <c r="B118" s="722" t="s">
        <v>593</v>
      </c>
      <c r="C118" s="723"/>
      <c r="D118" s="724"/>
      <c r="E118" s="205"/>
      <c r="F118" s="205"/>
      <c r="G118" s="354"/>
      <c r="H118" s="354"/>
      <c r="I118" s="191"/>
    </row>
    <row r="119" spans="1:9" ht="30" customHeight="1" hidden="1">
      <c r="A119" s="237" t="s">
        <v>594</v>
      </c>
      <c r="B119" s="722" t="s">
        <v>595</v>
      </c>
      <c r="C119" s="723"/>
      <c r="D119" s="724"/>
      <c r="E119" s="261">
        <f>E117</f>
        <v>0</v>
      </c>
      <c r="F119" s="261"/>
      <c r="G119" s="354"/>
      <c r="H119" s="354">
        <v>0</v>
      </c>
      <c r="I119" s="191"/>
    </row>
    <row r="120" spans="1:9" ht="30" customHeight="1" hidden="1">
      <c r="A120" s="237" t="s">
        <v>596</v>
      </c>
      <c r="B120" s="722" t="s">
        <v>597</v>
      </c>
      <c r="C120" s="723"/>
      <c r="D120" s="724"/>
      <c r="E120" s="205"/>
      <c r="F120" s="205"/>
      <c r="G120" s="354"/>
      <c r="H120" s="354"/>
      <c r="I120" s="191"/>
    </row>
    <row r="121" spans="1:9" ht="30" customHeight="1" hidden="1">
      <c r="A121" s="237" t="s">
        <v>598</v>
      </c>
      <c r="B121" s="722" t="s">
        <v>597</v>
      </c>
      <c r="C121" s="723"/>
      <c r="D121" s="724"/>
      <c r="E121" s="205"/>
      <c r="F121" s="205"/>
      <c r="G121" s="354"/>
      <c r="H121" s="354"/>
      <c r="I121" s="191"/>
    </row>
    <row r="122" spans="1:9" ht="29.25" customHeight="1" hidden="1">
      <c r="A122" s="237" t="s">
        <v>599</v>
      </c>
      <c r="B122" s="722" t="s">
        <v>600</v>
      </c>
      <c r="C122" s="723"/>
      <c r="D122" s="724"/>
      <c r="E122" s="261">
        <f>E119</f>
        <v>0</v>
      </c>
      <c r="F122" s="261"/>
      <c r="G122" s="354"/>
      <c r="H122" s="354">
        <v>0</v>
      </c>
      <c r="I122" s="191"/>
    </row>
    <row r="123" spans="1:9" ht="16.5" customHeight="1" hidden="1">
      <c r="A123" s="712" t="s">
        <v>571</v>
      </c>
      <c r="B123" s="712"/>
      <c r="C123" s="712"/>
      <c r="D123" s="712"/>
      <c r="E123" s="199" t="s">
        <v>562</v>
      </c>
      <c r="F123" s="524">
        <f>F112+F116+F122</f>
        <v>0</v>
      </c>
      <c r="G123" s="524">
        <f>G112+G116+G122</f>
        <v>0</v>
      </c>
      <c r="H123" s="524">
        <f>H112+H116+H122</f>
        <v>0</v>
      </c>
      <c r="I123" s="191"/>
    </row>
    <row r="124" spans="2:6" ht="16.5" customHeight="1">
      <c r="B124" s="242"/>
      <c r="C124" s="242"/>
      <c r="D124" s="242"/>
      <c r="E124" s="236"/>
      <c r="F124" s="191"/>
    </row>
    <row r="125" spans="2:6" ht="16.5" customHeight="1">
      <c r="B125" s="242"/>
      <c r="C125" s="242"/>
      <c r="D125" s="242"/>
      <c r="E125" s="236"/>
      <c r="F125" s="191"/>
    </row>
    <row r="126" spans="1:11" ht="99" customHeight="1">
      <c r="A126" s="713" t="s">
        <v>601</v>
      </c>
      <c r="B126" s="713"/>
      <c r="C126" s="713"/>
      <c r="D126" s="713"/>
      <c r="E126" s="713"/>
      <c r="F126" s="713"/>
      <c r="G126" s="713"/>
      <c r="H126" s="713"/>
      <c r="I126" s="713"/>
      <c r="J126" s="713"/>
      <c r="K126" s="713"/>
    </row>
    <row r="127" spans="2:6" ht="21" customHeight="1">
      <c r="B127" s="714"/>
      <c r="C127" s="714"/>
      <c r="D127" s="714"/>
      <c r="E127" s="714"/>
      <c r="F127" s="714"/>
    </row>
    <row r="128" spans="1:11" s="244" customFormat="1" ht="27" customHeight="1">
      <c r="A128" s="703" t="s">
        <v>602</v>
      </c>
      <c r="B128" s="703"/>
      <c r="C128" s="703"/>
      <c r="D128" s="703"/>
      <c r="E128" s="703"/>
      <c r="F128" s="703"/>
      <c r="G128" s="703"/>
      <c r="H128" s="703"/>
      <c r="I128" s="703"/>
      <c r="J128" s="703"/>
      <c r="K128" s="703"/>
    </row>
    <row r="129" spans="1:11" s="244" customFormat="1" ht="16.5" customHeight="1">
      <c r="A129" s="243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</row>
    <row r="130" spans="2:31" ht="15.75" customHeight="1">
      <c r="B130" s="192" t="s">
        <v>603</v>
      </c>
      <c r="C130" s="192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</row>
    <row r="131" spans="2:31" ht="15.75" customHeight="1">
      <c r="B131" s="185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</row>
    <row r="132" spans="2:31" ht="15.75" customHeight="1">
      <c r="B132" s="192" t="s">
        <v>542</v>
      </c>
      <c r="C132" s="192"/>
      <c r="D132" s="192" t="s">
        <v>604</v>
      </c>
      <c r="E132" s="192"/>
      <c r="F132" s="192"/>
      <c r="G132" s="192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</row>
    <row r="133" spans="2:31" ht="15.75" customHeight="1">
      <c r="B133" s="185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pans="1:9" s="244" customFormat="1" ht="15.75" customHeight="1">
      <c r="A134" s="670" t="s">
        <v>545</v>
      </c>
      <c r="B134" s="715" t="s">
        <v>1</v>
      </c>
      <c r="C134" s="715"/>
      <c r="D134" s="715"/>
      <c r="E134" s="715" t="s">
        <v>605</v>
      </c>
      <c r="F134" s="715" t="s">
        <v>606</v>
      </c>
      <c r="G134" s="716" t="s">
        <v>579</v>
      </c>
      <c r="H134" s="717"/>
      <c r="I134" s="718"/>
    </row>
    <row r="135" spans="1:49" s="244" customFormat="1" ht="51" customHeight="1">
      <c r="A135" s="671"/>
      <c r="B135" s="715"/>
      <c r="C135" s="715"/>
      <c r="D135" s="715"/>
      <c r="E135" s="715"/>
      <c r="F135" s="715"/>
      <c r="G135" s="226" t="s">
        <v>607</v>
      </c>
      <c r="H135" s="224" t="s">
        <v>557</v>
      </c>
      <c r="I135" s="226" t="s">
        <v>563</v>
      </c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</row>
    <row r="136" spans="1:49" s="244" customFormat="1" ht="15.75">
      <c r="A136" s="247">
        <v>1</v>
      </c>
      <c r="B136" s="707">
        <v>2</v>
      </c>
      <c r="C136" s="707"/>
      <c r="D136" s="707"/>
      <c r="E136" s="247">
        <v>3</v>
      </c>
      <c r="F136" s="248">
        <v>4</v>
      </c>
      <c r="G136" s="249">
        <v>4</v>
      </c>
      <c r="H136" s="250">
        <v>5</v>
      </c>
      <c r="I136" s="249">
        <v>6</v>
      </c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</row>
    <row r="137" spans="1:49" s="244" customFormat="1" ht="32.25" customHeight="1">
      <c r="A137" s="251" t="s">
        <v>608</v>
      </c>
      <c r="B137" s="708" t="s">
        <v>761</v>
      </c>
      <c r="C137" s="708"/>
      <c r="D137" s="708"/>
      <c r="E137" s="252">
        <v>110000</v>
      </c>
      <c r="F137" s="253">
        <v>1</v>
      </c>
      <c r="G137" s="231">
        <v>110000</v>
      </c>
      <c r="H137" s="232">
        <v>110000</v>
      </c>
      <c r="I137" s="23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</row>
    <row r="138" spans="1:49" s="244" customFormat="1" ht="30.75" customHeight="1">
      <c r="A138" s="251" t="s">
        <v>588</v>
      </c>
      <c r="B138" s="708"/>
      <c r="C138" s="708"/>
      <c r="D138" s="708"/>
      <c r="E138" s="252"/>
      <c r="F138" s="253"/>
      <c r="G138" s="231"/>
      <c r="H138" s="232"/>
      <c r="I138" s="23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</row>
    <row r="139" spans="1:49" s="244" customFormat="1" ht="35.25" customHeight="1">
      <c r="A139" s="251" t="s">
        <v>599</v>
      </c>
      <c r="B139" s="708"/>
      <c r="C139" s="708"/>
      <c r="D139" s="708"/>
      <c r="E139" s="252"/>
      <c r="F139" s="253"/>
      <c r="G139" s="231"/>
      <c r="H139" s="232"/>
      <c r="I139" s="23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</row>
    <row r="140" spans="1:49" s="243" customFormat="1" ht="15.75">
      <c r="A140" s="709" t="s">
        <v>561</v>
      </c>
      <c r="B140" s="710"/>
      <c r="C140" s="710"/>
      <c r="D140" s="711"/>
      <c r="E140" s="217" t="s">
        <v>562</v>
      </c>
      <c r="F140" s="340" t="s">
        <v>562</v>
      </c>
      <c r="G140" s="314">
        <f>SUM(G137:G139)</f>
        <v>110000</v>
      </c>
      <c r="H140" s="404">
        <f>SUM(H137:H139)</f>
        <v>110000</v>
      </c>
      <c r="I140" s="405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7"/>
      <c r="X140" s="407"/>
      <c r="Y140" s="407"/>
      <c r="Z140" s="407"/>
      <c r="AA140" s="407"/>
      <c r="AB140" s="407"/>
      <c r="AC140" s="407"/>
      <c r="AD140" s="407"/>
      <c r="AE140" s="407"/>
      <c r="AF140" s="407"/>
      <c r="AG140" s="407"/>
      <c r="AH140" s="407"/>
      <c r="AI140" s="407"/>
      <c r="AJ140" s="407"/>
      <c r="AK140" s="407"/>
      <c r="AL140" s="407"/>
      <c r="AM140" s="407"/>
      <c r="AN140" s="407"/>
      <c r="AO140" s="407"/>
      <c r="AP140" s="407"/>
      <c r="AQ140" s="407"/>
      <c r="AR140" s="407"/>
      <c r="AS140" s="407"/>
      <c r="AT140" s="407"/>
      <c r="AU140" s="407"/>
      <c r="AV140" s="407"/>
      <c r="AW140" s="407"/>
    </row>
    <row r="141" spans="6:49" s="244" customFormat="1" ht="15.75"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</row>
    <row r="142" spans="1:49" s="244" customFormat="1" ht="69" customHeight="1">
      <c r="A142" s="669" t="s">
        <v>609</v>
      </c>
      <c r="B142" s="669"/>
      <c r="C142" s="669"/>
      <c r="D142" s="669"/>
      <c r="E142" s="669"/>
      <c r="F142" s="669"/>
      <c r="G142" s="669"/>
      <c r="H142" s="669"/>
      <c r="I142" s="669"/>
      <c r="J142" s="669"/>
      <c r="K142" s="669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</row>
    <row r="143" s="244" customFormat="1" ht="15.75"/>
    <row r="144" spans="1:11" ht="15.75" customHeight="1">
      <c r="A144" s="703" t="s">
        <v>610</v>
      </c>
      <c r="B144" s="703"/>
      <c r="C144" s="703"/>
      <c r="D144" s="703"/>
      <c r="E144" s="703"/>
      <c r="F144" s="703"/>
      <c r="G144" s="703"/>
      <c r="H144" s="703"/>
      <c r="I144" s="703"/>
      <c r="J144" s="703"/>
      <c r="K144" s="703"/>
    </row>
    <row r="145" spans="1:11" ht="15.75" customHeight="1">
      <c r="A145" s="243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31" ht="15.75" customHeight="1">
      <c r="B146" s="192" t="s">
        <v>611</v>
      </c>
      <c r="C146" s="192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</row>
    <row r="147" spans="2:31" ht="15.75" customHeight="1">
      <c r="B147" s="185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</row>
    <row r="148" spans="2:31" ht="15.75" customHeight="1">
      <c r="B148" s="192" t="s">
        <v>542</v>
      </c>
      <c r="C148" s="192"/>
      <c r="D148" s="192" t="s">
        <v>604</v>
      </c>
      <c r="E148" s="192"/>
      <c r="F148" s="192"/>
      <c r="G148" s="192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</row>
    <row r="149" spans="1:4" ht="15.75" customHeight="1">
      <c r="A149" s="193"/>
      <c r="B149" s="193"/>
      <c r="C149" s="193"/>
      <c r="D149" s="193"/>
    </row>
    <row r="150" spans="1:8" ht="15.75" customHeight="1">
      <c r="A150" s="670" t="s">
        <v>545</v>
      </c>
      <c r="B150" s="652" t="s">
        <v>612</v>
      </c>
      <c r="C150" s="652"/>
      <c r="D150" s="676" t="s">
        <v>613</v>
      </c>
      <c r="E150" s="676" t="s">
        <v>614</v>
      </c>
      <c r="F150" s="704" t="s">
        <v>579</v>
      </c>
      <c r="G150" s="705"/>
      <c r="H150" s="706"/>
    </row>
    <row r="151" spans="1:8" ht="51.75" customHeight="1">
      <c r="A151" s="671"/>
      <c r="B151" s="652"/>
      <c r="C151" s="652"/>
      <c r="D151" s="677"/>
      <c r="E151" s="677"/>
      <c r="F151" s="257" t="s">
        <v>615</v>
      </c>
      <c r="G151" s="224" t="s">
        <v>557</v>
      </c>
      <c r="H151" s="226" t="s">
        <v>563</v>
      </c>
    </row>
    <row r="152" spans="1:8" ht="15.75">
      <c r="A152" s="258">
        <v>1</v>
      </c>
      <c r="B152" s="699">
        <v>2</v>
      </c>
      <c r="C152" s="699"/>
      <c r="D152" s="258">
        <v>3</v>
      </c>
      <c r="E152" s="258">
        <v>4</v>
      </c>
      <c r="F152" s="258">
        <v>5</v>
      </c>
      <c r="G152" s="259">
        <v>6</v>
      </c>
      <c r="H152" s="258">
        <v>7</v>
      </c>
    </row>
    <row r="153" spans="1:8" ht="15.75">
      <c r="A153" s="199">
        <v>1</v>
      </c>
      <c r="B153" s="700" t="s">
        <v>616</v>
      </c>
      <c r="C153" s="700"/>
      <c r="D153" s="260">
        <v>197314200</v>
      </c>
      <c r="E153" s="260">
        <v>1.5</v>
      </c>
      <c r="F153" s="261"/>
      <c r="G153" s="232"/>
      <c r="H153" s="261">
        <f>D153*E153%</f>
        <v>2959713</v>
      </c>
    </row>
    <row r="154" spans="1:8" ht="15.75">
      <c r="A154" s="199">
        <v>2</v>
      </c>
      <c r="B154" s="700" t="s">
        <v>960</v>
      </c>
      <c r="C154" s="700"/>
      <c r="D154" s="262"/>
      <c r="E154" s="262"/>
      <c r="F154" s="231"/>
      <c r="G154" s="232"/>
      <c r="H154" s="261">
        <v>3750</v>
      </c>
    </row>
    <row r="155" spans="1:8" ht="33.75" customHeight="1">
      <c r="A155" s="199">
        <v>3</v>
      </c>
      <c r="B155" s="701" t="s">
        <v>618</v>
      </c>
      <c r="C155" s="701"/>
      <c r="D155" s="205"/>
      <c r="E155" s="205"/>
      <c r="F155" s="205"/>
      <c r="G155" s="232"/>
      <c r="H155" s="261"/>
    </row>
    <row r="156" spans="1:8" ht="15.75">
      <c r="A156" s="199">
        <v>4</v>
      </c>
      <c r="B156" s="700" t="s">
        <v>616</v>
      </c>
      <c r="C156" s="700"/>
      <c r="D156" s="262">
        <v>79280149.9</v>
      </c>
      <c r="E156" s="262">
        <v>1.5</v>
      </c>
      <c r="F156" s="354"/>
      <c r="G156" s="525">
        <v>0</v>
      </c>
      <c r="H156" s="354">
        <v>1082174</v>
      </c>
    </row>
    <row r="157" spans="1:8" ht="15.75">
      <c r="A157" s="199">
        <v>5</v>
      </c>
      <c r="B157" s="700"/>
      <c r="C157" s="700"/>
      <c r="D157" s="205"/>
      <c r="E157" s="263"/>
      <c r="F157" s="205"/>
      <c r="G157" s="232"/>
      <c r="H157" s="261"/>
    </row>
    <row r="158" spans="1:8" ht="15.75">
      <c r="A158" s="683" t="s">
        <v>561</v>
      </c>
      <c r="B158" s="702"/>
      <c r="C158" s="684"/>
      <c r="D158" s="264">
        <f>SUM(D153:D157)</f>
        <v>276594349.9</v>
      </c>
      <c r="E158" s="265" t="s">
        <v>562</v>
      </c>
      <c r="F158" s="355">
        <f>F156+F153</f>
        <v>0</v>
      </c>
      <c r="G158" s="232"/>
      <c r="H158" s="266">
        <f>SUM(H153:H157)</f>
        <v>4045637</v>
      </c>
    </row>
    <row r="159" spans="1:7" ht="15.75">
      <c r="A159" s="191"/>
      <c r="B159" s="191"/>
      <c r="C159" s="191"/>
      <c r="D159" s="191"/>
      <c r="E159" s="191"/>
      <c r="F159" s="191"/>
      <c r="G159" s="191"/>
    </row>
    <row r="160" spans="1:11" ht="15.75" hidden="1">
      <c r="A160" s="703" t="s">
        <v>865</v>
      </c>
      <c r="B160" s="703"/>
      <c r="C160" s="703"/>
      <c r="D160" s="703"/>
      <c r="E160" s="703"/>
      <c r="F160" s="703"/>
      <c r="G160" s="703"/>
      <c r="H160" s="703"/>
      <c r="I160" s="703"/>
      <c r="J160" s="703"/>
      <c r="K160" s="703"/>
    </row>
    <row r="161" spans="1:11" ht="15.75" hidden="1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31" ht="15.75" hidden="1">
      <c r="B162" s="192" t="s">
        <v>611</v>
      </c>
      <c r="C162" s="192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</row>
    <row r="163" spans="2:31" ht="15.75" hidden="1">
      <c r="B163" s="185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</row>
    <row r="164" spans="2:31" ht="15.75" hidden="1">
      <c r="B164" s="192" t="s">
        <v>542</v>
      </c>
      <c r="C164" s="192"/>
      <c r="D164" s="192" t="s">
        <v>604</v>
      </c>
      <c r="E164" s="192"/>
      <c r="F164" s="192"/>
      <c r="G164" s="192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</row>
    <row r="165" spans="1:4" ht="15.75" hidden="1">
      <c r="A165" s="193"/>
      <c r="B165" s="193"/>
      <c r="C165" s="193"/>
      <c r="D165" s="193"/>
    </row>
    <row r="166" spans="1:8" ht="15.75" hidden="1">
      <c r="A166" s="670" t="s">
        <v>545</v>
      </c>
      <c r="B166" s="652" t="s">
        <v>612</v>
      </c>
      <c r="C166" s="652"/>
      <c r="D166" s="676" t="s">
        <v>613</v>
      </c>
      <c r="E166" s="676" t="s">
        <v>614</v>
      </c>
      <c r="F166" s="704" t="s">
        <v>579</v>
      </c>
      <c r="G166" s="705"/>
      <c r="H166" s="706"/>
    </row>
    <row r="167" spans="1:8" ht="63.75" hidden="1">
      <c r="A167" s="671"/>
      <c r="B167" s="652"/>
      <c r="C167" s="652"/>
      <c r="D167" s="677"/>
      <c r="E167" s="677"/>
      <c r="F167" s="257" t="s">
        <v>615</v>
      </c>
      <c r="G167" s="224" t="s">
        <v>557</v>
      </c>
      <c r="H167" s="226" t="s">
        <v>563</v>
      </c>
    </row>
    <row r="168" spans="1:8" ht="15.75" hidden="1">
      <c r="A168" s="258">
        <v>1</v>
      </c>
      <c r="B168" s="699">
        <v>2</v>
      </c>
      <c r="C168" s="699"/>
      <c r="D168" s="258">
        <v>3</v>
      </c>
      <c r="E168" s="258">
        <v>4</v>
      </c>
      <c r="F168" s="258">
        <v>5</v>
      </c>
      <c r="G168" s="259">
        <v>6</v>
      </c>
      <c r="H168" s="258">
        <v>7</v>
      </c>
    </row>
    <row r="169" spans="1:8" ht="15.75" hidden="1">
      <c r="A169" s="199">
        <v>1</v>
      </c>
      <c r="B169" s="700" t="s">
        <v>616</v>
      </c>
      <c r="C169" s="700"/>
      <c r="D169" s="262">
        <v>79280149.9</v>
      </c>
      <c r="E169" s="262">
        <v>1.5</v>
      </c>
      <c r="F169" s="354">
        <v>1189202</v>
      </c>
      <c r="G169" s="525">
        <v>0</v>
      </c>
      <c r="H169" s="354"/>
    </row>
    <row r="170" spans="1:8" ht="15.75" hidden="1">
      <c r="A170" s="199">
        <v>2</v>
      </c>
      <c r="B170" s="700" t="s">
        <v>617</v>
      </c>
      <c r="C170" s="700"/>
      <c r="D170" s="262" t="s">
        <v>754</v>
      </c>
      <c r="E170" s="262" t="s">
        <v>754</v>
      </c>
      <c r="F170" s="264" t="s">
        <v>754</v>
      </c>
      <c r="G170" s="525">
        <v>0</v>
      </c>
      <c r="H170" s="354">
        <v>0</v>
      </c>
    </row>
    <row r="171" spans="1:8" ht="15.75" hidden="1">
      <c r="A171" s="199">
        <v>3</v>
      </c>
      <c r="B171" s="701" t="s">
        <v>618</v>
      </c>
      <c r="C171" s="701"/>
      <c r="D171" s="199" t="s">
        <v>754</v>
      </c>
      <c r="E171" s="199" t="s">
        <v>754</v>
      </c>
      <c r="F171" s="264" t="s">
        <v>754</v>
      </c>
      <c r="G171" s="525">
        <v>0</v>
      </c>
      <c r="H171" s="354">
        <v>0</v>
      </c>
    </row>
    <row r="172" spans="1:8" ht="16.5" hidden="1">
      <c r="A172" s="683" t="s">
        <v>561</v>
      </c>
      <c r="B172" s="702"/>
      <c r="C172" s="684"/>
      <c r="D172" s="274"/>
      <c r="E172" s="265" t="s">
        <v>562</v>
      </c>
      <c r="F172" s="355"/>
      <c r="G172" s="526">
        <v>0</v>
      </c>
      <c r="H172" s="521">
        <f>SUM(H169)</f>
        <v>0</v>
      </c>
    </row>
    <row r="173" spans="1:7" ht="15.75">
      <c r="A173" s="191"/>
      <c r="B173" s="191"/>
      <c r="C173" s="191"/>
      <c r="D173" s="191"/>
      <c r="E173" s="191"/>
      <c r="F173" s="191"/>
      <c r="G173" s="191"/>
    </row>
    <row r="174" spans="1:11" ht="49.5" customHeight="1">
      <c r="A174" s="682" t="s">
        <v>619</v>
      </c>
      <c r="B174" s="682"/>
      <c r="C174" s="682"/>
      <c r="D174" s="682"/>
      <c r="E174" s="682"/>
      <c r="F174" s="682"/>
      <c r="G174" s="682"/>
      <c r="H174" s="682"/>
      <c r="I174" s="682"/>
      <c r="J174" s="682"/>
      <c r="K174" s="682"/>
    </row>
    <row r="175" spans="1:7" ht="15.75">
      <c r="A175" s="191"/>
      <c r="B175" s="191"/>
      <c r="C175" s="191"/>
      <c r="D175" s="191"/>
      <c r="E175" s="191"/>
      <c r="F175" s="191"/>
      <c r="G175" s="191"/>
    </row>
    <row r="176" spans="1:11" ht="15.75">
      <c r="A176" s="695" t="s">
        <v>620</v>
      </c>
      <c r="B176" s="695"/>
      <c r="C176" s="695"/>
      <c r="D176" s="695"/>
      <c r="E176" s="695"/>
      <c r="F176" s="695"/>
      <c r="G176" s="695"/>
      <c r="H176" s="695"/>
      <c r="I176" s="695"/>
      <c r="J176" s="695"/>
      <c r="K176" s="695"/>
    </row>
    <row r="177" spans="1:7" ht="17.25" customHeight="1">
      <c r="A177" s="698" t="s">
        <v>621</v>
      </c>
      <c r="B177" s="698"/>
      <c r="C177" s="698"/>
      <c r="D177" s="698"/>
      <c r="E177" s="698"/>
      <c r="F177" s="191"/>
      <c r="G177" s="191"/>
    </row>
    <row r="178" spans="2:31" ht="15.75" customHeight="1">
      <c r="B178" s="192" t="s">
        <v>622</v>
      </c>
      <c r="C178" s="192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</row>
    <row r="179" spans="2:31" ht="15.75" customHeight="1">
      <c r="B179" s="185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</row>
    <row r="180" spans="2:31" ht="15.75" customHeight="1">
      <c r="B180" s="192" t="s">
        <v>542</v>
      </c>
      <c r="C180" s="192"/>
      <c r="D180" s="192" t="s">
        <v>604</v>
      </c>
      <c r="E180" s="192"/>
      <c r="F180" s="192"/>
      <c r="G180" s="192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</row>
    <row r="181" spans="1:7" ht="17.25" customHeight="1">
      <c r="A181" s="267"/>
      <c r="B181" s="267"/>
      <c r="C181" s="267"/>
      <c r="D181" s="267"/>
      <c r="E181" s="267"/>
      <c r="F181" s="191"/>
      <c r="G181" s="191"/>
    </row>
    <row r="182" spans="1:8" ht="15.75">
      <c r="A182" s="670" t="s">
        <v>545</v>
      </c>
      <c r="B182" s="685" t="s">
        <v>1</v>
      </c>
      <c r="C182" s="685" t="s">
        <v>605</v>
      </c>
      <c r="D182" s="685" t="s">
        <v>606</v>
      </c>
      <c r="E182" s="666" t="s">
        <v>579</v>
      </c>
      <c r="F182" s="686"/>
      <c r="G182" s="667"/>
      <c r="H182" s="256"/>
    </row>
    <row r="183" spans="1:50" ht="48.75" customHeight="1">
      <c r="A183" s="671"/>
      <c r="B183" s="685"/>
      <c r="C183" s="685"/>
      <c r="D183" s="685"/>
      <c r="E183" s="269" t="s">
        <v>607</v>
      </c>
      <c r="F183" s="270" t="s">
        <v>557</v>
      </c>
      <c r="G183" s="235" t="s">
        <v>563</v>
      </c>
      <c r="H183" s="271"/>
      <c r="I183" s="272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191"/>
    </row>
    <row r="184" spans="1:50" ht="14.25" customHeight="1">
      <c r="A184" s="228">
        <v>1</v>
      </c>
      <c r="B184" s="273">
        <v>2</v>
      </c>
      <c r="C184" s="273">
        <v>3</v>
      </c>
      <c r="D184" s="273">
        <v>4</v>
      </c>
      <c r="E184" s="273">
        <v>5</v>
      </c>
      <c r="F184" s="229">
        <v>6</v>
      </c>
      <c r="G184" s="228">
        <v>7</v>
      </c>
      <c r="H184" s="230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191"/>
    </row>
    <row r="185" spans="1:50" ht="15.75">
      <c r="A185" s="199"/>
      <c r="B185" s="269"/>
      <c r="C185" s="274"/>
      <c r="D185" s="274"/>
      <c r="E185" s="274"/>
      <c r="F185" s="254"/>
      <c r="G185" s="274"/>
      <c r="H185" s="275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191"/>
    </row>
    <row r="186" spans="1:50" ht="15.75">
      <c r="A186" s="199"/>
      <c r="B186" s="269"/>
      <c r="C186" s="274"/>
      <c r="D186" s="274"/>
      <c r="E186" s="274"/>
      <c r="F186" s="254"/>
      <c r="G186" s="274"/>
      <c r="H186" s="275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191"/>
    </row>
    <row r="187" spans="1:50" ht="15.75">
      <c r="A187" s="683" t="s">
        <v>561</v>
      </c>
      <c r="B187" s="684"/>
      <c r="C187" s="274" t="s">
        <v>562</v>
      </c>
      <c r="D187" s="274" t="s">
        <v>562</v>
      </c>
      <c r="E187" s="274"/>
      <c r="F187" s="254"/>
      <c r="G187" s="274"/>
      <c r="H187" s="275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191"/>
    </row>
    <row r="188" spans="1:50" ht="15.75">
      <c r="A188" s="276"/>
      <c r="B188" s="276"/>
      <c r="C188" s="275"/>
      <c r="D188" s="275"/>
      <c r="E188" s="275"/>
      <c r="F188" s="275"/>
      <c r="G188" s="275"/>
      <c r="H188" s="275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191"/>
    </row>
    <row r="189" spans="1:50" ht="36" customHeight="1">
      <c r="A189" s="696" t="s">
        <v>623</v>
      </c>
      <c r="B189" s="696"/>
      <c r="C189" s="696"/>
      <c r="D189" s="696"/>
      <c r="E189" s="696"/>
      <c r="F189" s="696"/>
      <c r="G189" s="696"/>
      <c r="H189" s="696"/>
      <c r="I189" s="696"/>
      <c r="J189" s="696"/>
      <c r="K189" s="696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191"/>
    </row>
    <row r="190" spans="2:11" ht="15.75">
      <c r="B190" s="185"/>
      <c r="I190" s="191"/>
      <c r="J190" s="277"/>
      <c r="K190" s="277"/>
    </row>
    <row r="191" spans="1:12" ht="15.75" customHeight="1">
      <c r="A191" s="697" t="s">
        <v>624</v>
      </c>
      <c r="B191" s="697"/>
      <c r="C191" s="697"/>
      <c r="D191" s="697"/>
      <c r="E191" s="697"/>
      <c r="F191" s="697"/>
      <c r="G191" s="697"/>
      <c r="H191" s="697"/>
      <c r="I191" s="697"/>
      <c r="J191" s="697"/>
      <c r="K191" s="697"/>
      <c r="L191" s="279"/>
    </row>
    <row r="192" spans="1:12" ht="15.75" customHeight="1">
      <c r="A192" s="278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9"/>
    </row>
    <row r="193" spans="2:31" ht="15.75" customHeight="1">
      <c r="B193" s="192" t="s">
        <v>622</v>
      </c>
      <c r="C193" s="192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</row>
    <row r="194" spans="2:31" ht="15.75" customHeight="1">
      <c r="B194" s="185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</row>
    <row r="195" spans="2:31" ht="15.75" customHeight="1">
      <c r="B195" s="192" t="s">
        <v>542</v>
      </c>
      <c r="C195" s="192"/>
      <c r="D195" s="192" t="s">
        <v>604</v>
      </c>
      <c r="E195" s="192"/>
      <c r="F195" s="192"/>
      <c r="G195" s="192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</row>
    <row r="196" spans="1:12" ht="15.75" customHeight="1">
      <c r="A196" s="223"/>
      <c r="B196" s="223"/>
      <c r="C196" s="223"/>
      <c r="D196" s="223"/>
      <c r="E196" s="223"/>
      <c r="F196" s="223"/>
      <c r="G196" s="279"/>
      <c r="H196" s="279"/>
      <c r="I196" s="279"/>
      <c r="J196" s="279"/>
      <c r="K196" s="279"/>
      <c r="L196" s="279"/>
    </row>
    <row r="197" spans="1:8" ht="15.75" customHeight="1">
      <c r="A197" s="670" t="s">
        <v>545</v>
      </c>
      <c r="B197" s="685" t="s">
        <v>1</v>
      </c>
      <c r="C197" s="685" t="s">
        <v>605</v>
      </c>
      <c r="D197" s="685" t="s">
        <v>606</v>
      </c>
      <c r="E197" s="666" t="s">
        <v>579</v>
      </c>
      <c r="F197" s="686"/>
      <c r="G197" s="667"/>
      <c r="H197" s="256"/>
    </row>
    <row r="198" spans="1:50" ht="47.25" customHeight="1">
      <c r="A198" s="671"/>
      <c r="B198" s="685"/>
      <c r="C198" s="685"/>
      <c r="D198" s="685"/>
      <c r="E198" s="269" t="s">
        <v>607</v>
      </c>
      <c r="F198" s="235" t="s">
        <v>557</v>
      </c>
      <c r="G198" s="235" t="s">
        <v>563</v>
      </c>
      <c r="H198" s="271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191"/>
    </row>
    <row r="199" spans="1:50" ht="12" customHeight="1">
      <c r="A199" s="280">
        <v>1</v>
      </c>
      <c r="B199" s="281">
        <v>2</v>
      </c>
      <c r="C199" s="281">
        <v>3</v>
      </c>
      <c r="D199" s="281">
        <v>4</v>
      </c>
      <c r="E199" s="273">
        <v>5</v>
      </c>
      <c r="F199" s="228">
        <v>6</v>
      </c>
      <c r="G199" s="228">
        <v>7</v>
      </c>
      <c r="H199" s="230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191"/>
    </row>
    <row r="200" spans="1:50" ht="15.75">
      <c r="A200" s="199"/>
      <c r="B200" s="195"/>
      <c r="C200" s="201"/>
      <c r="D200" s="201"/>
      <c r="E200" s="274"/>
      <c r="F200" s="274"/>
      <c r="G200" s="274"/>
      <c r="H200" s="275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191"/>
    </row>
    <row r="201" spans="1:50" ht="15.75">
      <c r="A201" s="199"/>
      <c r="B201" s="195"/>
      <c r="C201" s="201"/>
      <c r="D201" s="201"/>
      <c r="E201" s="274"/>
      <c r="F201" s="274"/>
      <c r="G201" s="274"/>
      <c r="H201" s="275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191"/>
    </row>
    <row r="202" spans="1:50" ht="15.75">
      <c r="A202" s="683" t="s">
        <v>561</v>
      </c>
      <c r="B202" s="684"/>
      <c r="C202" s="201" t="s">
        <v>562</v>
      </c>
      <c r="D202" s="201" t="s">
        <v>562</v>
      </c>
      <c r="E202" s="274"/>
      <c r="F202" s="274"/>
      <c r="G202" s="274"/>
      <c r="H202" s="275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191"/>
    </row>
    <row r="203" spans="1:50" ht="15.75">
      <c r="A203" s="236"/>
      <c r="B203" s="191"/>
      <c r="C203" s="236"/>
      <c r="D203" s="236"/>
      <c r="E203" s="236"/>
      <c r="F203" s="236"/>
      <c r="G203" s="191"/>
      <c r="H203" s="277"/>
      <c r="I203" s="277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</row>
    <row r="204" spans="1:50" ht="39" customHeight="1">
      <c r="A204" s="682" t="s">
        <v>625</v>
      </c>
      <c r="B204" s="682"/>
      <c r="C204" s="682"/>
      <c r="D204" s="682"/>
      <c r="E204" s="682"/>
      <c r="F204" s="682"/>
      <c r="G204" s="682"/>
      <c r="H204" s="682"/>
      <c r="I204" s="682"/>
      <c r="J204" s="682"/>
      <c r="K204" s="682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1"/>
      <c r="AX204" s="191"/>
    </row>
    <row r="205" spans="1:50" ht="15.75">
      <c r="A205" s="236"/>
      <c r="B205" s="191"/>
      <c r="C205" s="236"/>
      <c r="D205" s="236"/>
      <c r="E205" s="236"/>
      <c r="F205" s="236"/>
      <c r="G205" s="191"/>
      <c r="H205" s="277"/>
      <c r="I205" s="277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AX205" s="191"/>
    </row>
    <row r="206" spans="1:11" ht="15.75">
      <c r="A206" s="695" t="s">
        <v>626</v>
      </c>
      <c r="B206" s="695"/>
      <c r="C206" s="695"/>
      <c r="D206" s="695"/>
      <c r="E206" s="695"/>
      <c r="F206" s="695"/>
      <c r="G206" s="695"/>
      <c r="H206" s="695"/>
      <c r="I206" s="695"/>
      <c r="J206" s="695"/>
      <c r="K206" s="695"/>
    </row>
    <row r="207" spans="1:10" ht="15.75">
      <c r="A207" s="236"/>
      <c r="B207" s="191"/>
      <c r="C207" s="236"/>
      <c r="D207" s="236"/>
      <c r="E207" s="236"/>
      <c r="F207" s="236"/>
      <c r="G207" s="191"/>
      <c r="H207" s="277"/>
      <c r="I207" s="277"/>
      <c r="J207" s="191"/>
    </row>
    <row r="208" spans="2:31" ht="15.75" customHeight="1">
      <c r="B208" s="192" t="s">
        <v>627</v>
      </c>
      <c r="C208" s="192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</row>
    <row r="209" spans="2:31" ht="15.75" customHeight="1">
      <c r="B209" s="185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</row>
    <row r="210" spans="2:31" ht="15.75" customHeight="1">
      <c r="B210" s="192" t="s">
        <v>542</v>
      </c>
      <c r="C210" s="192"/>
      <c r="D210" s="192" t="s">
        <v>604</v>
      </c>
      <c r="E210" s="192"/>
      <c r="F210" s="192"/>
      <c r="G210" s="192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</row>
    <row r="211" spans="1:10" ht="15.75">
      <c r="A211" s="236"/>
      <c r="B211" s="191"/>
      <c r="C211" s="236"/>
      <c r="D211" s="236"/>
      <c r="E211" s="236"/>
      <c r="F211" s="236"/>
      <c r="G211" s="191"/>
      <c r="H211" s="277"/>
      <c r="I211" s="277"/>
      <c r="J211" s="191"/>
    </row>
    <row r="212" spans="1:10" ht="15.75">
      <c r="A212" s="236"/>
      <c r="B212" s="222" t="s">
        <v>628</v>
      </c>
      <c r="C212" s="236"/>
      <c r="D212" s="236"/>
      <c r="E212" s="236"/>
      <c r="F212" s="236"/>
      <c r="G212" s="191"/>
      <c r="H212" s="277"/>
      <c r="I212" s="277"/>
      <c r="J212" s="191"/>
    </row>
    <row r="213" spans="1:10" ht="15.75">
      <c r="A213" s="282"/>
      <c r="B213" s="282"/>
      <c r="C213" s="282"/>
      <c r="D213" s="282"/>
      <c r="E213" s="236"/>
      <c r="F213" s="236"/>
      <c r="G213" s="191"/>
      <c r="H213" s="277"/>
      <c r="I213" s="277"/>
      <c r="J213" s="191"/>
    </row>
    <row r="214" spans="1:36" ht="22.5" customHeight="1">
      <c r="A214" s="670" t="s">
        <v>545</v>
      </c>
      <c r="B214" s="685" t="s">
        <v>566</v>
      </c>
      <c r="C214" s="685" t="s">
        <v>629</v>
      </c>
      <c r="D214" s="685" t="s">
        <v>630</v>
      </c>
      <c r="E214" s="685" t="s">
        <v>631</v>
      </c>
      <c r="F214" s="666" t="s">
        <v>579</v>
      </c>
      <c r="G214" s="686"/>
      <c r="H214" s="667"/>
      <c r="I214" s="256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</row>
    <row r="215" spans="1:36" ht="56.25" customHeight="1">
      <c r="A215" s="671"/>
      <c r="B215" s="685"/>
      <c r="C215" s="685"/>
      <c r="D215" s="685"/>
      <c r="E215" s="685"/>
      <c r="F215" s="245" t="s">
        <v>632</v>
      </c>
      <c r="G215" s="224" t="s">
        <v>557</v>
      </c>
      <c r="H215" s="226" t="s">
        <v>563</v>
      </c>
      <c r="I215" s="271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191"/>
    </row>
    <row r="216" spans="1:36" ht="15.75">
      <c r="A216" s="200">
        <v>1</v>
      </c>
      <c r="B216" s="200">
        <v>2</v>
      </c>
      <c r="C216" s="200">
        <v>3</v>
      </c>
      <c r="D216" s="200">
        <v>4</v>
      </c>
      <c r="E216" s="200">
        <v>5</v>
      </c>
      <c r="F216" s="203">
        <v>6</v>
      </c>
      <c r="G216" s="229">
        <v>7</v>
      </c>
      <c r="H216" s="228">
        <v>8</v>
      </c>
      <c r="I216" s="230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191"/>
    </row>
    <row r="217" spans="1:36" ht="31.5">
      <c r="A217" s="237" t="s">
        <v>608</v>
      </c>
      <c r="B217" s="297" t="s">
        <v>633</v>
      </c>
      <c r="C217" s="285">
        <v>6</v>
      </c>
      <c r="D217" s="286">
        <v>11</v>
      </c>
      <c r="E217" s="287">
        <v>484.85</v>
      </c>
      <c r="F217" s="288">
        <f>SUM(G217:H217)</f>
        <v>56000.100000000006</v>
      </c>
      <c r="G217" s="288">
        <v>0</v>
      </c>
      <c r="H217" s="288">
        <f>C217*D217*E217+24000</f>
        <v>56000.100000000006</v>
      </c>
      <c r="I217" s="275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  <c r="AI217" s="283"/>
      <c r="AJ217" s="191"/>
    </row>
    <row r="218" spans="1:36" ht="31.5">
      <c r="A218" s="237" t="s">
        <v>588</v>
      </c>
      <c r="B218" s="297" t="s">
        <v>634</v>
      </c>
      <c r="C218" s="287" t="s">
        <v>562</v>
      </c>
      <c r="D218" s="287">
        <v>12</v>
      </c>
      <c r="E218" s="287">
        <v>6000</v>
      </c>
      <c r="F218" s="287">
        <f>G218+H218</f>
        <v>152250.49</v>
      </c>
      <c r="G218" s="287">
        <f>72000+2644.09</f>
        <v>74644.09</v>
      </c>
      <c r="H218" s="288">
        <v>77606.4</v>
      </c>
      <c r="I218" s="56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83"/>
      <c r="W218" s="283"/>
      <c r="X218" s="283"/>
      <c r="Y218" s="283"/>
      <c r="Z218" s="283"/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191"/>
    </row>
    <row r="219" spans="1:36" ht="15.75">
      <c r="A219" s="693" t="s">
        <v>635</v>
      </c>
      <c r="B219" s="694"/>
      <c r="C219" s="265" t="s">
        <v>562</v>
      </c>
      <c r="D219" s="265" t="s">
        <v>562</v>
      </c>
      <c r="E219" s="265" t="s">
        <v>562</v>
      </c>
      <c r="F219" s="289">
        <f>SUM(F217:F218)</f>
        <v>208250.59</v>
      </c>
      <c r="G219" s="290">
        <f>SUM(G217:G218)</f>
        <v>74644.09</v>
      </c>
      <c r="H219" s="291">
        <f>SUM(H217:H218)</f>
        <v>133606.5</v>
      </c>
      <c r="I219" s="275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92"/>
      <c r="W219" s="292"/>
      <c r="X219" s="292"/>
      <c r="Y219" s="292"/>
      <c r="Z219" s="292"/>
      <c r="AA219" s="292"/>
      <c r="AB219" s="292"/>
      <c r="AC219" s="292"/>
      <c r="AD219" s="292"/>
      <c r="AE219" s="292"/>
      <c r="AF219" s="292"/>
      <c r="AG219" s="292"/>
      <c r="AH219" s="292"/>
      <c r="AI219" s="292"/>
      <c r="AJ219" s="191"/>
    </row>
    <row r="220" spans="1:10" ht="15.75">
      <c r="A220" s="236"/>
      <c r="B220" s="191"/>
      <c r="C220" s="236"/>
      <c r="D220" s="236"/>
      <c r="E220" s="236"/>
      <c r="F220" s="236"/>
      <c r="G220" s="191"/>
      <c r="H220" s="277"/>
      <c r="I220" s="277"/>
      <c r="J220" s="191"/>
    </row>
    <row r="221" spans="1:10" ht="15.75" hidden="1">
      <c r="A221" s="236"/>
      <c r="B221" s="222" t="s">
        <v>866</v>
      </c>
      <c r="C221" s="236"/>
      <c r="D221" s="236"/>
      <c r="E221" s="236"/>
      <c r="F221" s="236"/>
      <c r="G221" s="191"/>
      <c r="H221" s="277"/>
      <c r="I221" s="277"/>
      <c r="J221" s="191"/>
    </row>
    <row r="222" spans="1:10" ht="15.75" hidden="1">
      <c r="A222" s="282"/>
      <c r="B222" s="282"/>
      <c r="C222" s="282"/>
      <c r="D222" s="282"/>
      <c r="E222" s="236"/>
      <c r="F222" s="236"/>
      <c r="G222" s="191"/>
      <c r="H222" s="277"/>
      <c r="I222" s="277"/>
      <c r="J222" s="191"/>
    </row>
    <row r="223" spans="1:36" ht="15.75" hidden="1">
      <c r="A223" s="670" t="s">
        <v>545</v>
      </c>
      <c r="B223" s="685" t="s">
        <v>566</v>
      </c>
      <c r="C223" s="685" t="s">
        <v>629</v>
      </c>
      <c r="D223" s="685" t="s">
        <v>630</v>
      </c>
      <c r="E223" s="685" t="s">
        <v>631</v>
      </c>
      <c r="F223" s="666" t="s">
        <v>579</v>
      </c>
      <c r="G223" s="686"/>
      <c r="H223" s="667"/>
      <c r="I223" s="256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</row>
    <row r="224" spans="1:36" ht="47.25" hidden="1">
      <c r="A224" s="671"/>
      <c r="B224" s="685"/>
      <c r="C224" s="685"/>
      <c r="D224" s="685"/>
      <c r="E224" s="685"/>
      <c r="F224" s="245" t="s">
        <v>632</v>
      </c>
      <c r="G224" s="224" t="s">
        <v>557</v>
      </c>
      <c r="H224" s="226" t="s">
        <v>563</v>
      </c>
      <c r="I224" s="271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191"/>
    </row>
    <row r="225" spans="1:36" ht="15.75" hidden="1">
      <c r="A225" s="200">
        <v>1</v>
      </c>
      <c r="B225" s="200">
        <v>2</v>
      </c>
      <c r="C225" s="200">
        <v>3</v>
      </c>
      <c r="D225" s="200">
        <v>4</v>
      </c>
      <c r="E225" s="200">
        <v>5</v>
      </c>
      <c r="F225" s="203">
        <v>6</v>
      </c>
      <c r="G225" s="229">
        <v>7</v>
      </c>
      <c r="H225" s="228">
        <v>8</v>
      </c>
      <c r="I225" s="230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191"/>
    </row>
    <row r="226" spans="1:36" ht="15.75" hidden="1">
      <c r="A226" s="237" t="s">
        <v>608</v>
      </c>
      <c r="B226" s="297" t="s">
        <v>316</v>
      </c>
      <c r="C226" s="214">
        <v>3</v>
      </c>
      <c r="D226" s="214">
        <v>12</v>
      </c>
      <c r="E226" s="369">
        <v>2000</v>
      </c>
      <c r="F226" s="519">
        <f>SUM(G226:H226)</f>
        <v>0</v>
      </c>
      <c r="G226" s="298"/>
      <c r="H226" s="264"/>
      <c r="I226" s="275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191"/>
    </row>
    <row r="227" spans="1:36" ht="15.75" hidden="1">
      <c r="A227" s="237" t="s">
        <v>588</v>
      </c>
      <c r="B227" s="297" t="s">
        <v>867</v>
      </c>
      <c r="C227" s="214">
        <v>2</v>
      </c>
      <c r="D227" s="214">
        <v>12</v>
      </c>
      <c r="E227" s="369">
        <v>1817.2</v>
      </c>
      <c r="F227" s="519">
        <f>SUM(G227:H227)</f>
        <v>0</v>
      </c>
      <c r="G227" s="298"/>
      <c r="H227" s="264"/>
      <c r="I227" s="275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83"/>
      <c r="W227" s="283"/>
      <c r="X227" s="283"/>
      <c r="Y227" s="283"/>
      <c r="Z227" s="283"/>
      <c r="AA227" s="283"/>
      <c r="AB227" s="283"/>
      <c r="AC227" s="283"/>
      <c r="AD227" s="283"/>
      <c r="AE227" s="283"/>
      <c r="AF227" s="283"/>
      <c r="AG227" s="283"/>
      <c r="AH227" s="283"/>
      <c r="AI227" s="283"/>
      <c r="AJ227" s="191"/>
    </row>
    <row r="228" spans="1:36" ht="16.5" hidden="1">
      <c r="A228" s="690" t="s">
        <v>635</v>
      </c>
      <c r="B228" s="691"/>
      <c r="C228" s="214" t="s">
        <v>562</v>
      </c>
      <c r="D228" s="214" t="s">
        <v>562</v>
      </c>
      <c r="E228" s="369" t="s">
        <v>562</v>
      </c>
      <c r="F228" s="524">
        <f>SUM(F226:F227)</f>
        <v>0</v>
      </c>
      <c r="G228" s="524">
        <f>SUM(G226:G227)</f>
        <v>0</v>
      </c>
      <c r="H228" s="524">
        <f>SUM(H226:H227)</f>
        <v>0</v>
      </c>
      <c r="I228" s="275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92"/>
      <c r="W228" s="292"/>
      <c r="X228" s="292"/>
      <c r="Y228" s="292"/>
      <c r="Z228" s="292"/>
      <c r="AA228" s="292"/>
      <c r="AB228" s="292"/>
      <c r="AC228" s="292"/>
      <c r="AD228" s="292"/>
      <c r="AE228" s="292"/>
      <c r="AF228" s="292"/>
      <c r="AG228" s="292"/>
      <c r="AH228" s="292"/>
      <c r="AI228" s="292"/>
      <c r="AJ228" s="191"/>
    </row>
    <row r="229" spans="1:10" ht="15.75">
      <c r="A229" s="236"/>
      <c r="B229" s="191"/>
      <c r="C229" s="236"/>
      <c r="D229" s="236"/>
      <c r="E229" s="236"/>
      <c r="F229" s="236"/>
      <c r="G229" s="191"/>
      <c r="H229" s="277"/>
      <c r="I229" s="277"/>
      <c r="J229" s="191"/>
    </row>
    <row r="230" spans="1:11" ht="151.5" customHeight="1">
      <c r="A230" s="682" t="s">
        <v>636</v>
      </c>
      <c r="B230" s="682"/>
      <c r="C230" s="682"/>
      <c r="D230" s="682"/>
      <c r="E230" s="682"/>
      <c r="F230" s="682"/>
      <c r="G230" s="682"/>
      <c r="H230" s="682"/>
      <c r="I230" s="682"/>
      <c r="J230" s="682"/>
      <c r="K230" s="682"/>
    </row>
    <row r="231" spans="1:10" ht="15.75">
      <c r="A231" s="236"/>
      <c r="B231" s="191"/>
      <c r="C231" s="236"/>
      <c r="D231" s="236"/>
      <c r="E231" s="236"/>
      <c r="F231" s="236"/>
      <c r="G231" s="191"/>
      <c r="H231" s="277"/>
      <c r="I231" s="277"/>
      <c r="J231" s="191"/>
    </row>
    <row r="232" spans="1:10" ht="15.75">
      <c r="A232" s="282"/>
      <c r="B232" s="282" t="s">
        <v>637</v>
      </c>
      <c r="C232" s="282"/>
      <c r="D232" s="282"/>
      <c r="E232" s="282"/>
      <c r="F232" s="236"/>
      <c r="G232" s="191"/>
      <c r="H232" s="277"/>
      <c r="I232" s="277"/>
      <c r="J232" s="191"/>
    </row>
    <row r="233" spans="1:10" ht="15.75">
      <c r="A233" s="236"/>
      <c r="B233" s="191"/>
      <c r="C233" s="236"/>
      <c r="D233" s="236"/>
      <c r="E233" s="236"/>
      <c r="F233" s="236"/>
      <c r="G233" s="191"/>
      <c r="H233" s="277"/>
      <c r="I233" s="277"/>
      <c r="J233" s="191"/>
    </row>
    <row r="234" spans="1:10" ht="15.75">
      <c r="A234" s="670" t="s">
        <v>545</v>
      </c>
      <c r="B234" s="685" t="s">
        <v>566</v>
      </c>
      <c r="C234" s="685" t="s">
        <v>638</v>
      </c>
      <c r="D234" s="685" t="s">
        <v>639</v>
      </c>
      <c r="E234" s="666" t="s">
        <v>579</v>
      </c>
      <c r="F234" s="686"/>
      <c r="G234" s="667"/>
      <c r="H234" s="256"/>
      <c r="I234" s="277"/>
      <c r="J234" s="191"/>
    </row>
    <row r="235" spans="1:10" ht="31.5">
      <c r="A235" s="671"/>
      <c r="B235" s="685"/>
      <c r="C235" s="685"/>
      <c r="D235" s="685"/>
      <c r="E235" s="269" t="s">
        <v>640</v>
      </c>
      <c r="F235" s="270" t="s">
        <v>557</v>
      </c>
      <c r="G235" s="235" t="s">
        <v>563</v>
      </c>
      <c r="H235" s="271"/>
      <c r="I235" s="277"/>
      <c r="J235" s="191"/>
    </row>
    <row r="236" spans="1:10" ht="15.75">
      <c r="A236" s="280">
        <v>1</v>
      </c>
      <c r="B236" s="281">
        <v>2</v>
      </c>
      <c r="C236" s="281">
        <v>3</v>
      </c>
      <c r="D236" s="281">
        <v>4</v>
      </c>
      <c r="E236" s="273">
        <v>5</v>
      </c>
      <c r="F236" s="229">
        <v>6</v>
      </c>
      <c r="G236" s="228">
        <v>7</v>
      </c>
      <c r="H236" s="230"/>
      <c r="I236" s="277"/>
      <c r="J236" s="191"/>
    </row>
    <row r="237" spans="1:10" ht="15.75">
      <c r="A237" s="199"/>
      <c r="B237" s="195"/>
      <c r="C237" s="201"/>
      <c r="D237" s="201"/>
      <c r="E237" s="274"/>
      <c r="F237" s="254"/>
      <c r="G237" s="274"/>
      <c r="H237" s="275"/>
      <c r="I237" s="277"/>
      <c r="J237" s="191"/>
    </row>
    <row r="238" spans="1:10" ht="15.75">
      <c r="A238" s="199"/>
      <c r="B238" s="195"/>
      <c r="C238" s="201"/>
      <c r="D238" s="201"/>
      <c r="E238" s="274"/>
      <c r="F238" s="254"/>
      <c r="G238" s="274"/>
      <c r="H238" s="275"/>
      <c r="I238" s="277"/>
      <c r="J238" s="191"/>
    </row>
    <row r="239" spans="1:10" ht="15.75">
      <c r="A239" s="683" t="s">
        <v>561</v>
      </c>
      <c r="B239" s="684"/>
      <c r="C239" s="201" t="s">
        <v>562</v>
      </c>
      <c r="D239" s="201" t="s">
        <v>562</v>
      </c>
      <c r="E239" s="274"/>
      <c r="F239" s="254"/>
      <c r="G239" s="274"/>
      <c r="H239" s="275"/>
      <c r="I239" s="277"/>
      <c r="J239" s="191"/>
    </row>
    <row r="240" spans="1:10" ht="15.75">
      <c r="A240" s="236"/>
      <c r="B240" s="191"/>
      <c r="C240" s="236"/>
      <c r="D240" s="236"/>
      <c r="E240" s="236"/>
      <c r="F240" s="236"/>
      <c r="G240" s="191"/>
      <c r="H240" s="277"/>
      <c r="I240" s="277"/>
      <c r="J240" s="191"/>
    </row>
    <row r="241" spans="1:11" ht="36" customHeight="1">
      <c r="A241" s="692" t="s">
        <v>641</v>
      </c>
      <c r="B241" s="692"/>
      <c r="C241" s="692"/>
      <c r="D241" s="692"/>
      <c r="E241" s="692"/>
      <c r="F241" s="692"/>
      <c r="G241" s="692"/>
      <c r="H241" s="692"/>
      <c r="I241" s="692"/>
      <c r="J241" s="692"/>
      <c r="K241" s="692"/>
    </row>
    <row r="242" spans="1:10" ht="15.75">
      <c r="A242" s="236"/>
      <c r="B242" s="191"/>
      <c r="C242" s="236"/>
      <c r="D242" s="236"/>
      <c r="E242" s="236"/>
      <c r="F242" s="236"/>
      <c r="G242" s="191"/>
      <c r="H242" s="277"/>
      <c r="I242" s="277"/>
      <c r="J242" s="191"/>
    </row>
    <row r="243" spans="1:10" ht="15.75">
      <c r="A243" s="282"/>
      <c r="B243" s="282" t="s">
        <v>642</v>
      </c>
      <c r="C243" s="282"/>
      <c r="D243" s="282"/>
      <c r="E243" s="282"/>
      <c r="F243" s="282"/>
      <c r="G243" s="191"/>
      <c r="H243" s="277"/>
      <c r="I243" s="277"/>
      <c r="J243" s="191"/>
    </row>
    <row r="244" spans="1:10" ht="15.75">
      <c r="A244" s="236"/>
      <c r="B244" s="191"/>
      <c r="C244" s="236"/>
      <c r="D244" s="236"/>
      <c r="E244" s="236"/>
      <c r="F244" s="236"/>
      <c r="G244" s="191"/>
      <c r="H244" s="277"/>
      <c r="I244" s="277"/>
      <c r="J244" s="191"/>
    </row>
    <row r="245" spans="1:10" ht="15.75" customHeight="1">
      <c r="A245" s="670" t="s">
        <v>545</v>
      </c>
      <c r="B245" s="685" t="s">
        <v>1</v>
      </c>
      <c r="C245" s="685" t="s">
        <v>643</v>
      </c>
      <c r="D245" s="685" t="s">
        <v>644</v>
      </c>
      <c r="E245" s="685" t="s">
        <v>645</v>
      </c>
      <c r="F245" s="666" t="s">
        <v>579</v>
      </c>
      <c r="G245" s="686"/>
      <c r="H245" s="667"/>
      <c r="I245" s="256"/>
      <c r="J245" s="191"/>
    </row>
    <row r="246" spans="1:10" ht="47.25">
      <c r="A246" s="671"/>
      <c r="B246" s="685"/>
      <c r="C246" s="685"/>
      <c r="D246" s="685"/>
      <c r="E246" s="685"/>
      <c r="F246" s="268" t="s">
        <v>632</v>
      </c>
      <c r="G246" s="235" t="s">
        <v>557</v>
      </c>
      <c r="H246" s="235" t="s">
        <v>563</v>
      </c>
      <c r="I246" s="271"/>
      <c r="J246" s="191"/>
    </row>
    <row r="247" spans="1:10" ht="15.75">
      <c r="A247" s="200">
        <v>1</v>
      </c>
      <c r="B247" s="200">
        <v>2</v>
      </c>
      <c r="C247" s="200">
        <v>3</v>
      </c>
      <c r="D247" s="200">
        <v>4</v>
      </c>
      <c r="E247" s="200">
        <v>5</v>
      </c>
      <c r="F247" s="203">
        <v>6</v>
      </c>
      <c r="G247" s="228">
        <v>7</v>
      </c>
      <c r="H247" s="228">
        <v>8</v>
      </c>
      <c r="I247" s="230"/>
      <c r="J247" s="191"/>
    </row>
    <row r="248" spans="1:10" ht="15.75">
      <c r="A248" s="293" t="s">
        <v>608</v>
      </c>
      <c r="B248" s="294" t="s">
        <v>646</v>
      </c>
      <c r="C248" s="295">
        <f>675.25-5</f>
        <v>670.25</v>
      </c>
      <c r="D248" s="295">
        <v>1860.27</v>
      </c>
      <c r="E248" s="295">
        <v>0</v>
      </c>
      <c r="F248" s="296">
        <f>SUM(G248:H248)</f>
        <v>2015750.16</v>
      </c>
      <c r="G248" s="296">
        <v>0</v>
      </c>
      <c r="H248" s="264">
        <f>'раздел 3 (табл.2,3,4)'!I186+'раздел 3 (табл.2,3,4)'!I190</f>
        <v>2015750.16</v>
      </c>
      <c r="I248" s="275"/>
      <c r="J248" s="191"/>
    </row>
    <row r="249" spans="1:10" ht="15.75">
      <c r="A249" s="293" t="s">
        <v>588</v>
      </c>
      <c r="B249" s="297" t="s">
        <v>647</v>
      </c>
      <c r="C249" s="298">
        <f>97108-22684</f>
        <v>74424</v>
      </c>
      <c r="D249" s="298">
        <v>6.32</v>
      </c>
      <c r="E249" s="295">
        <v>0</v>
      </c>
      <c r="F249" s="296">
        <f>SUM(G249:H249)</f>
        <v>808583.6799999999</v>
      </c>
      <c r="G249" s="264"/>
      <c r="H249" s="264">
        <f>'раздел 3 (табл.2,3,4)'!I188+'раздел 3 (табл.2,3,4)'!I192</f>
        <v>808583.6799999999</v>
      </c>
      <c r="I249" s="275"/>
      <c r="J249" s="191"/>
    </row>
    <row r="250" spans="1:10" ht="31.5">
      <c r="A250" s="293" t="s">
        <v>599</v>
      </c>
      <c r="B250" s="297" t="s">
        <v>648</v>
      </c>
      <c r="C250" s="298">
        <v>3054</v>
      </c>
      <c r="D250" s="298">
        <v>40.98</v>
      </c>
      <c r="E250" s="295">
        <v>0</v>
      </c>
      <c r="F250" s="296">
        <f>SUM(G250:H250)</f>
        <v>269152.92</v>
      </c>
      <c r="G250" s="264"/>
      <c r="H250" s="264">
        <f>'раздел 3 (табл.2,3,4)'!I189+'раздел 3 (табл.2,3,4)'!I194</f>
        <v>269152.92</v>
      </c>
      <c r="I250" s="275"/>
      <c r="J250" s="191"/>
    </row>
    <row r="251" spans="1:10" ht="18.75">
      <c r="A251" s="687" t="s">
        <v>635</v>
      </c>
      <c r="B251" s="688"/>
      <c r="C251" s="299" t="s">
        <v>562</v>
      </c>
      <c r="D251" s="299" t="s">
        <v>562</v>
      </c>
      <c r="E251" s="299" t="s">
        <v>562</v>
      </c>
      <c r="F251" s="300">
        <f>SUM(F248:F250)</f>
        <v>3093486.76</v>
      </c>
      <c r="G251" s="300">
        <f>SUM(G248:G250)</f>
        <v>0</v>
      </c>
      <c r="H251" s="300">
        <f>SUM(H248:H250)</f>
        <v>3093486.76</v>
      </c>
      <c r="I251" s="275"/>
      <c r="J251" s="191"/>
    </row>
    <row r="252" spans="1:10" ht="15.75">
      <c r="A252" s="236"/>
      <c r="B252" s="191"/>
      <c r="C252" s="236"/>
      <c r="D252" s="236"/>
      <c r="E252" s="236"/>
      <c r="F252" s="236"/>
      <c r="G252" s="191"/>
      <c r="H252" s="277"/>
      <c r="I252" s="277"/>
      <c r="J252" s="191"/>
    </row>
    <row r="253" spans="1:10" ht="15.75" hidden="1">
      <c r="A253" s="282"/>
      <c r="B253" s="282" t="s">
        <v>868</v>
      </c>
      <c r="C253" s="282"/>
      <c r="D253" s="282"/>
      <c r="E253" s="282"/>
      <c r="F253" s="282"/>
      <c r="G253" s="191"/>
      <c r="H253" s="277"/>
      <c r="I253" s="277"/>
      <c r="J253" s="191"/>
    </row>
    <row r="254" spans="1:10" ht="15.75" hidden="1">
      <c r="A254" s="236"/>
      <c r="B254" s="191"/>
      <c r="C254" s="236"/>
      <c r="D254" s="236"/>
      <c r="E254" s="236"/>
      <c r="F254" s="236"/>
      <c r="G254" s="191"/>
      <c r="H254" s="277"/>
      <c r="I254" s="277"/>
      <c r="J254" s="191"/>
    </row>
    <row r="255" spans="1:10" ht="15.75" hidden="1">
      <c r="A255" s="670" t="s">
        <v>545</v>
      </c>
      <c r="B255" s="685" t="s">
        <v>1</v>
      </c>
      <c r="C255" s="685" t="s">
        <v>643</v>
      </c>
      <c r="D255" s="685" t="s">
        <v>644</v>
      </c>
      <c r="E255" s="685" t="s">
        <v>645</v>
      </c>
      <c r="F255" s="666" t="s">
        <v>579</v>
      </c>
      <c r="G255" s="686"/>
      <c r="H255" s="667"/>
      <c r="I255" s="256"/>
      <c r="J255" s="191"/>
    </row>
    <row r="256" spans="1:10" ht="47.25" hidden="1">
      <c r="A256" s="671"/>
      <c r="B256" s="685"/>
      <c r="C256" s="685"/>
      <c r="D256" s="685"/>
      <c r="E256" s="685"/>
      <c r="F256" s="268" t="s">
        <v>632</v>
      </c>
      <c r="G256" s="235" t="s">
        <v>557</v>
      </c>
      <c r="H256" s="235" t="s">
        <v>563</v>
      </c>
      <c r="I256" s="271"/>
      <c r="J256" s="191"/>
    </row>
    <row r="257" spans="1:10" ht="15.75" hidden="1">
      <c r="A257" s="200">
        <v>1</v>
      </c>
      <c r="B257" s="200">
        <v>2</v>
      </c>
      <c r="C257" s="200">
        <v>3</v>
      </c>
      <c r="D257" s="200">
        <v>4</v>
      </c>
      <c r="E257" s="200">
        <v>5</v>
      </c>
      <c r="F257" s="203">
        <v>6</v>
      </c>
      <c r="G257" s="228">
        <v>7</v>
      </c>
      <c r="H257" s="228">
        <v>8</v>
      </c>
      <c r="I257" s="230"/>
      <c r="J257" s="191"/>
    </row>
    <row r="258" spans="1:10" ht="15.75" hidden="1">
      <c r="A258" s="237" t="s">
        <v>608</v>
      </c>
      <c r="B258" s="297" t="s">
        <v>869</v>
      </c>
      <c r="C258" s="214"/>
      <c r="D258" s="214"/>
      <c r="E258" s="214"/>
      <c r="F258" s="519">
        <f>SUM(G258:H258)</f>
        <v>0</v>
      </c>
      <c r="G258" s="264">
        <v>0</v>
      </c>
      <c r="H258" s="264"/>
      <c r="I258" s="275"/>
      <c r="J258" s="191"/>
    </row>
    <row r="259" spans="1:10" ht="15.75" hidden="1">
      <c r="A259" s="237" t="s">
        <v>588</v>
      </c>
      <c r="B259" s="297" t="s">
        <v>870</v>
      </c>
      <c r="C259" s="214"/>
      <c r="D259" s="214"/>
      <c r="E259" s="214"/>
      <c r="F259" s="519">
        <f>SUM(G259:H259)</f>
        <v>0</v>
      </c>
      <c r="G259" s="264">
        <v>0</v>
      </c>
      <c r="H259" s="264"/>
      <c r="I259" s="275"/>
      <c r="J259" s="191"/>
    </row>
    <row r="260" spans="1:10" ht="31.5" hidden="1">
      <c r="A260" s="237" t="s">
        <v>599</v>
      </c>
      <c r="B260" s="297" t="s">
        <v>871</v>
      </c>
      <c r="C260" s="214"/>
      <c r="D260" s="214"/>
      <c r="E260" s="214"/>
      <c r="F260" s="519">
        <f>SUM(G260:H260)</f>
        <v>0</v>
      </c>
      <c r="G260" s="264">
        <v>0</v>
      </c>
      <c r="H260" s="264"/>
      <c r="I260" s="275"/>
      <c r="J260" s="191"/>
    </row>
    <row r="261" spans="1:10" ht="16.5" hidden="1">
      <c r="A261" s="690" t="s">
        <v>635</v>
      </c>
      <c r="B261" s="691"/>
      <c r="C261" s="214" t="s">
        <v>562</v>
      </c>
      <c r="D261" s="214" t="s">
        <v>562</v>
      </c>
      <c r="E261" s="214" t="s">
        <v>562</v>
      </c>
      <c r="F261" s="524">
        <f>SUM(F258:F260)</f>
        <v>0</v>
      </c>
      <c r="G261" s="524">
        <f>SUM(G258:G260)</f>
        <v>0</v>
      </c>
      <c r="H261" s="524">
        <f>SUM(H258:H260)</f>
        <v>0</v>
      </c>
      <c r="I261" s="275"/>
      <c r="J261" s="191"/>
    </row>
    <row r="262" spans="1:10" ht="15.75">
      <c r="A262" s="236"/>
      <c r="B262" s="191"/>
      <c r="C262" s="236"/>
      <c r="D262" s="236"/>
      <c r="E262" s="236"/>
      <c r="F262" s="236"/>
      <c r="G262" s="191"/>
      <c r="H262" s="277"/>
      <c r="I262" s="277"/>
      <c r="J262" s="191"/>
    </row>
    <row r="263" spans="1:11" ht="66.75" customHeight="1">
      <c r="A263" s="682" t="s">
        <v>649</v>
      </c>
      <c r="B263" s="692"/>
      <c r="C263" s="692"/>
      <c r="D263" s="692"/>
      <c r="E263" s="692"/>
      <c r="F263" s="692"/>
      <c r="G263" s="692"/>
      <c r="H263" s="692"/>
      <c r="I263" s="692"/>
      <c r="J263" s="692"/>
      <c r="K263" s="692"/>
    </row>
    <row r="264" spans="1:10" ht="15.75">
      <c r="A264" s="236"/>
      <c r="B264" s="191"/>
      <c r="C264" s="236"/>
      <c r="D264" s="236"/>
      <c r="E264" s="236"/>
      <c r="F264" s="236"/>
      <c r="G264" s="191"/>
      <c r="H264" s="277"/>
      <c r="I264" s="277"/>
      <c r="J264" s="191"/>
    </row>
    <row r="265" spans="1:10" ht="15.75">
      <c r="A265" s="282"/>
      <c r="B265" s="282" t="s">
        <v>650</v>
      </c>
      <c r="C265" s="282"/>
      <c r="D265" s="282"/>
      <c r="E265" s="282"/>
      <c r="F265" s="236"/>
      <c r="G265" s="191"/>
      <c r="H265" s="277"/>
      <c r="I265" s="277"/>
      <c r="J265" s="191"/>
    </row>
    <row r="266" spans="1:10" ht="15.75">
      <c r="A266" s="236"/>
      <c r="B266" s="191"/>
      <c r="C266" s="236"/>
      <c r="D266" s="236"/>
      <c r="E266" s="236"/>
      <c r="F266" s="236"/>
      <c r="G266" s="191"/>
      <c r="H266" s="277"/>
      <c r="I266" s="277"/>
      <c r="J266" s="191"/>
    </row>
    <row r="267" spans="1:10" ht="15.75">
      <c r="A267" s="670" t="s">
        <v>545</v>
      </c>
      <c r="B267" s="685" t="s">
        <v>1</v>
      </c>
      <c r="C267" s="685" t="s">
        <v>651</v>
      </c>
      <c r="D267" s="685" t="s">
        <v>652</v>
      </c>
      <c r="E267" s="666" t="s">
        <v>579</v>
      </c>
      <c r="F267" s="686"/>
      <c r="G267" s="667"/>
      <c r="H267" s="256"/>
      <c r="I267" s="277"/>
      <c r="J267" s="191"/>
    </row>
    <row r="268" spans="1:10" ht="47.25">
      <c r="A268" s="671"/>
      <c r="B268" s="685"/>
      <c r="C268" s="685"/>
      <c r="D268" s="685"/>
      <c r="E268" s="269" t="s">
        <v>653</v>
      </c>
      <c r="F268" s="270" t="s">
        <v>557</v>
      </c>
      <c r="G268" s="235" t="s">
        <v>563</v>
      </c>
      <c r="H268" s="271"/>
      <c r="I268" s="277"/>
      <c r="J268" s="191"/>
    </row>
    <row r="269" spans="1:10" ht="15.75">
      <c r="A269" s="280">
        <v>1</v>
      </c>
      <c r="B269" s="281">
        <v>2</v>
      </c>
      <c r="C269" s="281">
        <v>3</v>
      </c>
      <c r="D269" s="281">
        <v>4</v>
      </c>
      <c r="E269" s="273">
        <v>5</v>
      </c>
      <c r="F269" s="229">
        <v>5</v>
      </c>
      <c r="G269" s="228">
        <v>6</v>
      </c>
      <c r="H269" s="230"/>
      <c r="I269" s="277"/>
      <c r="J269" s="191"/>
    </row>
    <row r="270" spans="1:10" ht="15.75">
      <c r="A270" s="199"/>
      <c r="B270" s="195"/>
      <c r="C270" s="201"/>
      <c r="D270" s="201"/>
      <c r="E270" s="274"/>
      <c r="F270" s="254"/>
      <c r="G270" s="274"/>
      <c r="H270" s="275"/>
      <c r="I270" s="277"/>
      <c r="J270" s="191"/>
    </row>
    <row r="271" spans="1:10" ht="15.75">
      <c r="A271" s="199"/>
      <c r="B271" s="195"/>
      <c r="C271" s="201"/>
      <c r="D271" s="201"/>
      <c r="E271" s="274"/>
      <c r="F271" s="254"/>
      <c r="G271" s="274"/>
      <c r="H271" s="275"/>
      <c r="I271" s="277"/>
      <c r="J271" s="191"/>
    </row>
    <row r="272" spans="1:10" ht="15.75">
      <c r="A272" s="683" t="s">
        <v>561</v>
      </c>
      <c r="B272" s="684"/>
      <c r="C272" s="201" t="s">
        <v>562</v>
      </c>
      <c r="D272" s="201" t="s">
        <v>562</v>
      </c>
      <c r="E272" s="274" t="s">
        <v>562</v>
      </c>
      <c r="F272" s="254"/>
      <c r="G272" s="274"/>
      <c r="H272" s="275"/>
      <c r="I272" s="277"/>
      <c r="J272" s="191"/>
    </row>
    <row r="273" spans="1:10" ht="15.75">
      <c r="A273" s="236"/>
      <c r="B273" s="191"/>
      <c r="C273" s="236"/>
      <c r="D273" s="236"/>
      <c r="E273" s="236"/>
      <c r="F273" s="236"/>
      <c r="G273" s="191"/>
      <c r="H273" s="277"/>
      <c r="I273" s="277"/>
      <c r="J273" s="191"/>
    </row>
    <row r="274" spans="1:11" ht="48" customHeight="1">
      <c r="A274" s="689" t="s">
        <v>654</v>
      </c>
      <c r="B274" s="689"/>
      <c r="C274" s="689"/>
      <c r="D274" s="689"/>
      <c r="E274" s="689"/>
      <c r="F274" s="689"/>
      <c r="G274" s="689"/>
      <c r="H274" s="689"/>
      <c r="I274" s="689"/>
      <c r="J274" s="689"/>
      <c r="K274" s="689"/>
    </row>
    <row r="275" spans="1:10" ht="15.75">
      <c r="A275" s="236"/>
      <c r="B275" s="191"/>
      <c r="C275" s="236"/>
      <c r="D275" s="236"/>
      <c r="E275" s="236"/>
      <c r="F275" s="236"/>
      <c r="G275" s="191"/>
      <c r="H275" s="277"/>
      <c r="I275" s="277"/>
      <c r="J275" s="191"/>
    </row>
    <row r="276" spans="1:10" ht="15.75">
      <c r="A276" s="282"/>
      <c r="B276" s="282" t="s">
        <v>655</v>
      </c>
      <c r="C276" s="282"/>
      <c r="D276" s="282"/>
      <c r="E276" s="282"/>
      <c r="F276" s="282"/>
      <c r="G276" s="191"/>
      <c r="H276" s="277"/>
      <c r="I276" s="277"/>
      <c r="J276" s="191"/>
    </row>
    <row r="277" spans="1:10" ht="15.75">
      <c r="A277" s="236"/>
      <c r="B277" s="191"/>
      <c r="C277" s="236"/>
      <c r="D277" s="236"/>
      <c r="E277" s="236"/>
      <c r="F277" s="236"/>
      <c r="G277" s="191"/>
      <c r="H277" s="277"/>
      <c r="I277" s="277"/>
      <c r="J277" s="191"/>
    </row>
    <row r="278" spans="1:10" ht="15.75">
      <c r="A278" s="670" t="s">
        <v>545</v>
      </c>
      <c r="B278" s="685" t="s">
        <v>566</v>
      </c>
      <c r="C278" s="685" t="s">
        <v>656</v>
      </c>
      <c r="D278" s="685" t="s">
        <v>657</v>
      </c>
      <c r="E278" s="666" t="s">
        <v>579</v>
      </c>
      <c r="F278" s="686"/>
      <c r="G278" s="667"/>
      <c r="H278" s="256"/>
      <c r="I278" s="277"/>
      <c r="J278" s="191"/>
    </row>
    <row r="279" spans="1:10" ht="47.25">
      <c r="A279" s="671"/>
      <c r="B279" s="685"/>
      <c r="C279" s="685"/>
      <c r="D279" s="685"/>
      <c r="E279" s="269" t="s">
        <v>658</v>
      </c>
      <c r="F279" s="270" t="s">
        <v>557</v>
      </c>
      <c r="G279" s="235" t="s">
        <v>563</v>
      </c>
      <c r="H279" s="271"/>
      <c r="I279" s="277"/>
      <c r="J279" s="191"/>
    </row>
    <row r="280" spans="1:10" ht="15.75">
      <c r="A280" s="280">
        <v>1</v>
      </c>
      <c r="B280" s="281">
        <v>2</v>
      </c>
      <c r="C280" s="281">
        <v>3</v>
      </c>
      <c r="D280" s="281">
        <v>4</v>
      </c>
      <c r="E280" s="273">
        <v>5</v>
      </c>
      <c r="F280" s="229">
        <v>5</v>
      </c>
      <c r="G280" s="228">
        <v>6</v>
      </c>
      <c r="H280" s="230"/>
      <c r="I280" s="277"/>
      <c r="J280" s="191"/>
    </row>
    <row r="281" spans="1:10" ht="15.75">
      <c r="A281" s="280">
        <v>1</v>
      </c>
      <c r="B281" s="301" t="s">
        <v>659</v>
      </c>
      <c r="C281" s="281" t="s">
        <v>660</v>
      </c>
      <c r="D281" s="302">
        <v>24</v>
      </c>
      <c r="E281" s="303">
        <f>SUM(F281:G281)</f>
        <v>35098.29</v>
      </c>
      <c r="F281" s="303">
        <v>0</v>
      </c>
      <c r="G281" s="303">
        <v>35098.29</v>
      </c>
      <c r="H281" s="230"/>
      <c r="I281" s="277"/>
      <c r="J281" s="191"/>
    </row>
    <row r="282" spans="1:10" ht="15.75">
      <c r="A282" s="280">
        <v>2</v>
      </c>
      <c r="B282" s="301" t="s">
        <v>661</v>
      </c>
      <c r="C282" s="281" t="s">
        <v>660</v>
      </c>
      <c r="D282" s="302">
        <v>3117.73</v>
      </c>
      <c r="E282" s="303">
        <f aca="true" t="shared" si="0" ref="E282:E292">SUM(F282:G282)</f>
        <v>33342.32</v>
      </c>
      <c r="F282" s="303">
        <v>0</v>
      </c>
      <c r="G282" s="303">
        <v>33342.32</v>
      </c>
      <c r="H282" s="230"/>
      <c r="I282" s="277"/>
      <c r="J282" s="191"/>
    </row>
    <row r="283" spans="1:10" ht="31.5">
      <c r="A283" s="280">
        <v>3</v>
      </c>
      <c r="B283" s="301" t="s">
        <v>662</v>
      </c>
      <c r="C283" s="281" t="s">
        <v>660</v>
      </c>
      <c r="D283" s="302">
        <v>12</v>
      </c>
      <c r="E283" s="303">
        <f t="shared" si="0"/>
        <v>99600</v>
      </c>
      <c r="F283" s="303">
        <v>0</v>
      </c>
      <c r="G283" s="303">
        <v>99600</v>
      </c>
      <c r="H283" s="230"/>
      <c r="I283" s="277"/>
      <c r="J283" s="191"/>
    </row>
    <row r="284" spans="1:10" ht="31.5">
      <c r="A284" s="280">
        <v>4</v>
      </c>
      <c r="B284" s="301" t="s">
        <v>662</v>
      </c>
      <c r="C284" s="281" t="s">
        <v>660</v>
      </c>
      <c r="D284" s="302">
        <v>12</v>
      </c>
      <c r="E284" s="303">
        <f t="shared" si="0"/>
        <v>34800</v>
      </c>
      <c r="F284" s="303">
        <v>0</v>
      </c>
      <c r="G284" s="303">
        <v>34800</v>
      </c>
      <c r="H284" s="230"/>
      <c r="I284" s="277"/>
      <c r="J284" s="191"/>
    </row>
    <row r="285" spans="1:10" ht="15.75">
      <c r="A285" s="280">
        <v>5</v>
      </c>
      <c r="B285" s="301" t="s">
        <v>663</v>
      </c>
      <c r="C285" s="281" t="s">
        <v>660</v>
      </c>
      <c r="D285" s="302">
        <v>12</v>
      </c>
      <c r="E285" s="303">
        <f t="shared" si="0"/>
        <v>653000</v>
      </c>
      <c r="F285" s="303">
        <v>0</v>
      </c>
      <c r="G285" s="303">
        <f>363000+290000</f>
        <v>653000</v>
      </c>
      <c r="H285" s="230"/>
      <c r="I285" s="277"/>
      <c r="J285" s="191"/>
    </row>
    <row r="286" spans="1:10" ht="31.5">
      <c r="A286" s="280">
        <v>6</v>
      </c>
      <c r="B286" s="301" t="s">
        <v>664</v>
      </c>
      <c r="C286" s="281" t="s">
        <v>660</v>
      </c>
      <c r="D286" s="302">
        <v>12</v>
      </c>
      <c r="E286" s="303">
        <f t="shared" si="0"/>
        <v>335972.86</v>
      </c>
      <c r="F286" s="303">
        <f>134297.86-1352-5176</f>
        <v>127769.85999999999</v>
      </c>
      <c r="G286" s="303">
        <v>208203</v>
      </c>
      <c r="H286" s="230"/>
      <c r="I286" s="277"/>
      <c r="J286" s="191"/>
    </row>
    <row r="287" spans="1:10" ht="15.75">
      <c r="A287" s="280">
        <v>7</v>
      </c>
      <c r="B287" s="301" t="s">
        <v>665</v>
      </c>
      <c r="C287" s="281" t="s">
        <v>660</v>
      </c>
      <c r="D287" s="302">
        <v>1</v>
      </c>
      <c r="E287" s="303">
        <f t="shared" si="0"/>
        <v>11000</v>
      </c>
      <c r="F287" s="303">
        <v>0</v>
      </c>
      <c r="G287" s="303">
        <v>11000</v>
      </c>
      <c r="H287" s="230"/>
      <c r="I287" s="277"/>
      <c r="J287" s="191"/>
    </row>
    <row r="288" spans="1:10" ht="15.75">
      <c r="A288" s="280">
        <v>8</v>
      </c>
      <c r="B288" s="301" t="s">
        <v>666</v>
      </c>
      <c r="C288" s="281" t="s">
        <v>660</v>
      </c>
      <c r="D288" s="302">
        <v>1</v>
      </c>
      <c r="E288" s="303">
        <f t="shared" si="0"/>
        <v>31000</v>
      </c>
      <c r="F288" s="303">
        <v>0</v>
      </c>
      <c r="G288" s="303">
        <v>31000</v>
      </c>
      <c r="H288" s="230"/>
      <c r="I288" s="277"/>
      <c r="J288" s="191"/>
    </row>
    <row r="289" spans="1:10" ht="15.75">
      <c r="A289" s="280">
        <v>9</v>
      </c>
      <c r="B289" s="301" t="s">
        <v>667</v>
      </c>
      <c r="C289" s="281" t="s">
        <v>660</v>
      </c>
      <c r="D289" s="302">
        <v>12</v>
      </c>
      <c r="E289" s="303">
        <f t="shared" si="0"/>
        <v>18000</v>
      </c>
      <c r="F289" s="303">
        <v>0</v>
      </c>
      <c r="G289" s="303">
        <v>18000</v>
      </c>
      <c r="H289" s="230"/>
      <c r="I289" s="277"/>
      <c r="J289" s="191"/>
    </row>
    <row r="290" spans="1:10" ht="15.75">
      <c r="A290" s="280">
        <v>10</v>
      </c>
      <c r="B290" s="301" t="s">
        <v>668</v>
      </c>
      <c r="C290" s="281" t="s">
        <v>660</v>
      </c>
      <c r="D290" s="302">
        <v>1</v>
      </c>
      <c r="E290" s="303">
        <f t="shared" si="0"/>
        <v>60000</v>
      </c>
      <c r="F290" s="303">
        <v>0</v>
      </c>
      <c r="G290" s="303">
        <v>60000</v>
      </c>
      <c r="H290" s="230"/>
      <c r="I290" s="277"/>
      <c r="J290" s="191"/>
    </row>
    <row r="291" spans="1:10" ht="31.5">
      <c r="A291" s="280">
        <v>11</v>
      </c>
      <c r="B291" s="301" t="s">
        <v>669</v>
      </c>
      <c r="C291" s="281" t="s">
        <v>660</v>
      </c>
      <c r="D291" s="302">
        <v>6</v>
      </c>
      <c r="E291" s="303">
        <f t="shared" si="0"/>
        <v>556474.4</v>
      </c>
      <c r="F291" s="303">
        <v>0</v>
      </c>
      <c r="G291" s="303">
        <f>866282.74-7296.84-2948.67+153338.31-62576.47-62960.41-300000-23614.26-3750</f>
        <v>556474.4</v>
      </c>
      <c r="H291" s="230"/>
      <c r="I291" s="277"/>
      <c r="J291" s="191"/>
    </row>
    <row r="292" spans="1:10" ht="15.75">
      <c r="A292" s="280">
        <v>12</v>
      </c>
      <c r="B292" s="301" t="s">
        <v>670</v>
      </c>
      <c r="C292" s="281" t="s">
        <v>660</v>
      </c>
      <c r="D292" s="302">
        <v>4</v>
      </c>
      <c r="E292" s="303">
        <f t="shared" si="0"/>
        <v>70000</v>
      </c>
      <c r="F292" s="303">
        <v>0</v>
      </c>
      <c r="G292" s="303">
        <v>70000</v>
      </c>
      <c r="H292" s="230"/>
      <c r="I292" s="277"/>
      <c r="J292" s="191"/>
    </row>
    <row r="293" spans="1:10" ht="31.5">
      <c r="A293" s="550">
        <v>13</v>
      </c>
      <c r="B293" s="301" t="s">
        <v>873</v>
      </c>
      <c r="C293" s="530" t="s">
        <v>874</v>
      </c>
      <c r="D293" s="531">
        <v>12</v>
      </c>
      <c r="E293" s="303">
        <f>SUM(F293:G293)</f>
        <v>11599.68</v>
      </c>
      <c r="F293" s="303">
        <v>0</v>
      </c>
      <c r="G293" s="555">
        <v>11599.68</v>
      </c>
      <c r="H293" s="230"/>
      <c r="I293" s="277"/>
      <c r="J293" s="191"/>
    </row>
    <row r="294" spans="1:10" ht="63">
      <c r="A294" s="550">
        <v>14</v>
      </c>
      <c r="B294" s="301" t="s">
        <v>875</v>
      </c>
      <c r="C294" s="530" t="s">
        <v>876</v>
      </c>
      <c r="D294" s="531">
        <v>12</v>
      </c>
      <c r="E294" s="303">
        <f aca="true" t="shared" si="1" ref="E294:E307">SUM(F294:G294)</f>
        <v>24000</v>
      </c>
      <c r="F294" s="303">
        <v>0</v>
      </c>
      <c r="G294" s="555">
        <v>24000</v>
      </c>
      <c r="H294" s="230"/>
      <c r="I294" s="277"/>
      <c r="J294" s="191"/>
    </row>
    <row r="295" spans="1:10" ht="31.5">
      <c r="A295" s="550">
        <v>15</v>
      </c>
      <c r="B295" s="301" t="s">
        <v>877</v>
      </c>
      <c r="C295" s="530" t="s">
        <v>878</v>
      </c>
      <c r="D295" s="531">
        <v>12</v>
      </c>
      <c r="E295" s="303">
        <f t="shared" si="1"/>
        <v>39600</v>
      </c>
      <c r="F295" s="303">
        <v>0</v>
      </c>
      <c r="G295" s="555">
        <v>39600</v>
      </c>
      <c r="H295" s="230"/>
      <c r="I295" s="277"/>
      <c r="J295" s="191"/>
    </row>
    <row r="296" spans="1:10" ht="78.75">
      <c r="A296" s="550">
        <v>16</v>
      </c>
      <c r="B296" s="301" t="s">
        <v>879</v>
      </c>
      <c r="C296" s="530" t="s">
        <v>880</v>
      </c>
      <c r="D296" s="531">
        <v>12</v>
      </c>
      <c r="E296" s="303">
        <f t="shared" si="1"/>
        <v>96000</v>
      </c>
      <c r="F296" s="303">
        <v>0</v>
      </c>
      <c r="G296" s="555">
        <v>96000</v>
      </c>
      <c r="H296" s="230"/>
      <c r="I296" s="277"/>
      <c r="J296" s="191"/>
    </row>
    <row r="297" spans="1:10" ht="63">
      <c r="A297" s="550">
        <v>17</v>
      </c>
      <c r="B297" s="301" t="s">
        <v>881</v>
      </c>
      <c r="C297" s="530" t="s">
        <v>882</v>
      </c>
      <c r="D297" s="531">
        <v>4</v>
      </c>
      <c r="E297" s="303">
        <f t="shared" si="1"/>
        <v>4800</v>
      </c>
      <c r="F297" s="303">
        <v>0</v>
      </c>
      <c r="G297" s="555">
        <v>4800</v>
      </c>
      <c r="H297" s="230"/>
      <c r="I297" s="277"/>
      <c r="J297" s="191"/>
    </row>
    <row r="298" spans="1:10" ht="15.75">
      <c r="A298" s="550">
        <v>18</v>
      </c>
      <c r="B298" s="301" t="s">
        <v>883</v>
      </c>
      <c r="C298" s="530" t="s">
        <v>884</v>
      </c>
      <c r="D298" s="531">
        <v>12</v>
      </c>
      <c r="E298" s="303">
        <f t="shared" si="1"/>
        <v>37200</v>
      </c>
      <c r="F298" s="303">
        <v>0</v>
      </c>
      <c r="G298" s="555">
        <v>37200</v>
      </c>
      <c r="H298" s="230"/>
      <c r="I298" s="277"/>
      <c r="J298" s="191"/>
    </row>
    <row r="299" spans="1:10" ht="78.75">
      <c r="A299" s="550">
        <v>19</v>
      </c>
      <c r="B299" s="301" t="s">
        <v>885</v>
      </c>
      <c r="C299" s="513" t="s">
        <v>886</v>
      </c>
      <c r="D299" s="202">
        <v>12</v>
      </c>
      <c r="E299" s="303">
        <f t="shared" si="1"/>
        <v>14400</v>
      </c>
      <c r="F299" s="303">
        <v>0</v>
      </c>
      <c r="G299" s="555">
        <v>14400</v>
      </c>
      <c r="H299" s="230"/>
      <c r="I299" s="277"/>
      <c r="J299" s="191"/>
    </row>
    <row r="300" spans="1:10" ht="25.5">
      <c r="A300" s="550">
        <v>20</v>
      </c>
      <c r="B300" s="301" t="s">
        <v>887</v>
      </c>
      <c r="C300" s="513" t="s">
        <v>888</v>
      </c>
      <c r="D300" s="202">
        <v>7</v>
      </c>
      <c r="E300" s="303">
        <f t="shared" si="1"/>
        <v>19000</v>
      </c>
      <c r="F300" s="303">
        <v>0</v>
      </c>
      <c r="G300" s="555">
        <v>19000</v>
      </c>
      <c r="H300" s="230"/>
      <c r="I300" s="277"/>
      <c r="J300" s="191"/>
    </row>
    <row r="301" spans="1:10" ht="78.75">
      <c r="A301" s="550">
        <v>21</v>
      </c>
      <c r="B301" s="301" t="s">
        <v>889</v>
      </c>
      <c r="C301" s="513" t="s">
        <v>890</v>
      </c>
      <c r="D301" s="202">
        <v>12</v>
      </c>
      <c r="E301" s="303">
        <f t="shared" si="1"/>
        <v>87699</v>
      </c>
      <c r="F301" s="303">
        <v>0</v>
      </c>
      <c r="G301" s="555">
        <v>87699</v>
      </c>
      <c r="H301" s="230"/>
      <c r="I301" s="277"/>
      <c r="J301" s="191"/>
    </row>
    <row r="302" spans="1:10" ht="63">
      <c r="A302" s="550">
        <v>22</v>
      </c>
      <c r="B302" s="301" t="s">
        <v>891</v>
      </c>
      <c r="C302" s="513" t="s">
        <v>892</v>
      </c>
      <c r="D302" s="202">
        <v>12</v>
      </c>
      <c r="E302" s="303">
        <f t="shared" si="1"/>
        <v>4989.6</v>
      </c>
      <c r="F302" s="303">
        <v>0</v>
      </c>
      <c r="G302" s="555">
        <v>4989.6</v>
      </c>
      <c r="H302" s="230"/>
      <c r="I302" s="277"/>
      <c r="J302" s="191"/>
    </row>
    <row r="303" spans="1:10" ht="25.5">
      <c r="A303" s="550">
        <v>23</v>
      </c>
      <c r="B303" s="301" t="s">
        <v>893</v>
      </c>
      <c r="C303" s="513" t="s">
        <v>894</v>
      </c>
      <c r="D303" s="202">
        <v>12</v>
      </c>
      <c r="E303" s="303">
        <f t="shared" si="1"/>
        <v>70800</v>
      </c>
      <c r="F303" s="303">
        <v>0</v>
      </c>
      <c r="G303" s="555">
        <v>70800</v>
      </c>
      <c r="H303" s="230"/>
      <c r="I303" s="277"/>
      <c r="J303" s="191"/>
    </row>
    <row r="304" spans="1:10" ht="15.75">
      <c r="A304" s="550">
        <v>24</v>
      </c>
      <c r="B304" s="301" t="s">
        <v>895</v>
      </c>
      <c r="C304" s="513" t="s">
        <v>896</v>
      </c>
      <c r="D304" s="202">
        <v>1</v>
      </c>
      <c r="E304" s="303">
        <f t="shared" si="1"/>
        <v>20000</v>
      </c>
      <c r="F304" s="303">
        <v>0</v>
      </c>
      <c r="G304" s="555">
        <v>20000</v>
      </c>
      <c r="H304" s="230"/>
      <c r="I304" s="277"/>
      <c r="J304" s="191"/>
    </row>
    <row r="305" spans="1:10" ht="31.5">
      <c r="A305" s="550">
        <v>25</v>
      </c>
      <c r="B305" s="301" t="s">
        <v>897</v>
      </c>
      <c r="C305" s="513"/>
      <c r="D305" s="202">
        <v>1</v>
      </c>
      <c r="E305" s="303">
        <f t="shared" si="1"/>
        <v>25000</v>
      </c>
      <c r="F305" s="303">
        <v>0</v>
      </c>
      <c r="G305" s="555">
        <v>25000</v>
      </c>
      <c r="H305" s="230"/>
      <c r="I305" s="277"/>
      <c r="J305" s="191"/>
    </row>
    <row r="306" spans="1:10" ht="15.75">
      <c r="A306" s="550">
        <v>26</v>
      </c>
      <c r="B306" s="301" t="s">
        <v>898</v>
      </c>
      <c r="C306" s="513"/>
      <c r="D306" s="202">
        <v>1</v>
      </c>
      <c r="E306" s="303">
        <f t="shared" si="1"/>
        <v>50012.93</v>
      </c>
      <c r="F306" s="303">
        <v>0</v>
      </c>
      <c r="G306" s="555">
        <f>52000-1987.07</f>
        <v>50012.93</v>
      </c>
      <c r="H306" s="230"/>
      <c r="I306" s="277"/>
      <c r="J306" s="191"/>
    </row>
    <row r="307" spans="1:10" ht="15.75">
      <c r="A307" s="550">
        <v>27</v>
      </c>
      <c r="B307" s="301" t="s">
        <v>899</v>
      </c>
      <c r="C307" s="513"/>
      <c r="D307" s="202">
        <v>1</v>
      </c>
      <c r="E307" s="303">
        <f t="shared" si="1"/>
        <v>8373.61</v>
      </c>
      <c r="F307" s="303">
        <v>0</v>
      </c>
      <c r="G307" s="555">
        <v>8373.61</v>
      </c>
      <c r="H307" s="230"/>
      <c r="I307" s="277"/>
      <c r="J307" s="191"/>
    </row>
    <row r="308" spans="1:10" ht="15.75">
      <c r="A308" s="550"/>
      <c r="B308" s="551"/>
      <c r="C308" s="281"/>
      <c r="D308" s="544"/>
      <c r="E308" s="303"/>
      <c r="F308" s="331"/>
      <c r="G308" s="303"/>
      <c r="H308" s="230"/>
      <c r="I308" s="277"/>
      <c r="J308" s="191"/>
    </row>
    <row r="309" spans="1:10" ht="15.75">
      <c r="A309" s="550"/>
      <c r="B309" s="551"/>
      <c r="C309" s="281"/>
      <c r="D309" s="544"/>
      <c r="E309" s="303"/>
      <c r="F309" s="331"/>
      <c r="G309" s="303"/>
      <c r="H309" s="230"/>
      <c r="I309" s="277"/>
      <c r="J309" s="191"/>
    </row>
    <row r="310" spans="1:10" ht="15.75">
      <c r="A310" s="550"/>
      <c r="B310" s="551"/>
      <c r="C310" s="281"/>
      <c r="D310" s="544"/>
      <c r="E310" s="303"/>
      <c r="F310" s="331"/>
      <c r="G310" s="303"/>
      <c r="H310" s="230"/>
      <c r="I310" s="277"/>
      <c r="J310" s="191"/>
    </row>
    <row r="311" spans="1:10" ht="18.75">
      <c r="A311" s="687" t="s">
        <v>561</v>
      </c>
      <c r="B311" s="688"/>
      <c r="C311" s="304" t="s">
        <v>562</v>
      </c>
      <c r="D311" s="304" t="s">
        <v>562</v>
      </c>
      <c r="E311" s="305">
        <f>SUM(E281:E307)</f>
        <v>2451762.69</v>
      </c>
      <c r="F311" s="306">
        <f>SUM(F281:F307)</f>
        <v>127769.85999999999</v>
      </c>
      <c r="G311" s="305">
        <f>SUM(G281:G307)</f>
        <v>2323992.8299999996</v>
      </c>
      <c r="H311" s="230"/>
      <c r="I311" s="277"/>
      <c r="J311" s="191"/>
    </row>
    <row r="312" spans="1:10" ht="18.75">
      <c r="A312" s="399"/>
      <c r="B312" s="400"/>
      <c r="C312" s="401"/>
      <c r="D312" s="401"/>
      <c r="E312" s="305"/>
      <c r="F312" s="306"/>
      <c r="G312" s="305"/>
      <c r="H312" s="230"/>
      <c r="I312" s="277"/>
      <c r="J312" s="191"/>
    </row>
    <row r="313" spans="1:10" ht="15.75">
      <c r="A313" s="280">
        <v>11</v>
      </c>
      <c r="B313" s="301" t="s">
        <v>749</v>
      </c>
      <c r="C313" s="281" t="s">
        <v>660</v>
      </c>
      <c r="D313" s="302">
        <v>6</v>
      </c>
      <c r="E313" s="303">
        <f>SUM(F313:G313)</f>
        <v>962846.06</v>
      </c>
      <c r="F313" s="303">
        <v>0</v>
      </c>
      <c r="G313" s="303">
        <f>300000+662846.06</f>
        <v>962846.06</v>
      </c>
      <c r="H313" s="230"/>
      <c r="I313" s="277"/>
      <c r="J313" s="191"/>
    </row>
    <row r="314" spans="1:10" ht="18.75">
      <c r="A314" s="687" t="s">
        <v>561</v>
      </c>
      <c r="B314" s="688"/>
      <c r="C314" s="304" t="s">
        <v>562</v>
      </c>
      <c r="D314" s="304" t="s">
        <v>562</v>
      </c>
      <c r="E314" s="305">
        <f>SUM(E313)</f>
        <v>962846.06</v>
      </c>
      <c r="F314" s="306">
        <f>SUM(F313)</f>
        <v>0</v>
      </c>
      <c r="G314" s="305">
        <f>SUM(G313)</f>
        <v>962846.06</v>
      </c>
      <c r="H314" s="230"/>
      <c r="I314" s="277"/>
      <c r="J314" s="191"/>
    </row>
    <row r="315" spans="1:10" ht="18.75">
      <c r="A315" s="527"/>
      <c r="B315" s="527"/>
      <c r="C315" s="528"/>
      <c r="D315" s="528"/>
      <c r="E315" s="529"/>
      <c r="F315" s="529"/>
      <c r="G315" s="529"/>
      <c r="H315" s="230"/>
      <c r="I315" s="277"/>
      <c r="J315" s="191"/>
    </row>
    <row r="316" spans="1:10" ht="15.75" hidden="1">
      <c r="A316" s="282"/>
      <c r="B316" s="282" t="s">
        <v>872</v>
      </c>
      <c r="C316" s="282"/>
      <c r="D316" s="282"/>
      <c r="E316" s="282"/>
      <c r="F316" s="282"/>
      <c r="G316" s="191"/>
      <c r="H316" s="277"/>
      <c r="I316" s="277"/>
      <c r="J316" s="191"/>
    </row>
    <row r="317" spans="1:10" ht="15.75" hidden="1">
      <c r="A317" s="236"/>
      <c r="B317" s="191"/>
      <c r="C317" s="236"/>
      <c r="D317" s="236"/>
      <c r="E317" s="236"/>
      <c r="F317" s="236"/>
      <c r="G317" s="191"/>
      <c r="H317" s="277"/>
      <c r="I317" s="277"/>
      <c r="J317" s="191"/>
    </row>
    <row r="318" spans="1:10" ht="15.75" hidden="1">
      <c r="A318" s="670" t="s">
        <v>545</v>
      </c>
      <c r="B318" s="685" t="s">
        <v>566</v>
      </c>
      <c r="C318" s="685" t="s">
        <v>656</v>
      </c>
      <c r="D318" s="685" t="s">
        <v>657</v>
      </c>
      <c r="E318" s="666" t="s">
        <v>579</v>
      </c>
      <c r="F318" s="686"/>
      <c r="G318" s="667"/>
      <c r="H318" s="256"/>
      <c r="I318" s="277"/>
      <c r="J318" s="191"/>
    </row>
    <row r="319" spans="1:10" ht="47.25" hidden="1">
      <c r="A319" s="671"/>
      <c r="B319" s="685"/>
      <c r="C319" s="685"/>
      <c r="D319" s="685"/>
      <c r="E319" s="269" t="s">
        <v>658</v>
      </c>
      <c r="F319" s="270" t="s">
        <v>557</v>
      </c>
      <c r="G319" s="235" t="s">
        <v>563</v>
      </c>
      <c r="H319" s="271"/>
      <c r="I319" s="277"/>
      <c r="J319" s="191"/>
    </row>
    <row r="320" spans="1:10" ht="15.75" hidden="1">
      <c r="A320" s="280">
        <v>1</v>
      </c>
      <c r="B320" s="281">
        <v>2</v>
      </c>
      <c r="C320" s="281">
        <v>3</v>
      </c>
      <c r="D320" s="281">
        <v>4</v>
      </c>
      <c r="E320" s="273">
        <v>5</v>
      </c>
      <c r="F320" s="229">
        <v>5</v>
      </c>
      <c r="G320" s="228">
        <v>6</v>
      </c>
      <c r="H320" s="230"/>
      <c r="I320" s="277"/>
      <c r="J320" s="191"/>
    </row>
    <row r="321" spans="1:10" ht="31.5" hidden="1">
      <c r="A321" s="280">
        <v>1</v>
      </c>
      <c r="B321" s="301" t="s">
        <v>873</v>
      </c>
      <c r="C321" s="530" t="s">
        <v>874</v>
      </c>
      <c r="D321" s="531">
        <v>12</v>
      </c>
      <c r="E321" s="303">
        <f>SUM(F321:G321)</f>
        <v>0</v>
      </c>
      <c r="F321" s="303">
        <v>0</v>
      </c>
      <c r="G321" s="303"/>
      <c r="H321" s="230"/>
      <c r="I321" s="277"/>
      <c r="J321" s="191"/>
    </row>
    <row r="322" spans="1:10" ht="63" hidden="1">
      <c r="A322" s="280">
        <v>2</v>
      </c>
      <c r="B322" s="301" t="s">
        <v>875</v>
      </c>
      <c r="C322" s="530" t="s">
        <v>876</v>
      </c>
      <c r="D322" s="531">
        <v>12</v>
      </c>
      <c r="E322" s="303">
        <f aca="true" t="shared" si="2" ref="E322:E335">SUM(F322:G322)</f>
        <v>0</v>
      </c>
      <c r="F322" s="303">
        <v>0</v>
      </c>
      <c r="G322" s="303"/>
      <c r="H322" s="230"/>
      <c r="I322" s="277"/>
      <c r="J322" s="191"/>
    </row>
    <row r="323" spans="1:10" ht="31.5" hidden="1">
      <c r="A323" s="280">
        <v>3</v>
      </c>
      <c r="B323" s="301" t="s">
        <v>877</v>
      </c>
      <c r="C323" s="530" t="s">
        <v>878</v>
      </c>
      <c r="D323" s="531">
        <v>12</v>
      </c>
      <c r="E323" s="303">
        <f t="shared" si="2"/>
        <v>0</v>
      </c>
      <c r="F323" s="303">
        <v>0</v>
      </c>
      <c r="G323" s="303"/>
      <c r="H323" s="230"/>
      <c r="I323" s="277"/>
      <c r="J323" s="191"/>
    </row>
    <row r="324" spans="1:10" ht="78.75" hidden="1">
      <c r="A324" s="280">
        <v>4</v>
      </c>
      <c r="B324" s="301" t="s">
        <v>879</v>
      </c>
      <c r="C324" s="530" t="s">
        <v>880</v>
      </c>
      <c r="D324" s="531">
        <v>12</v>
      </c>
      <c r="E324" s="303">
        <f t="shared" si="2"/>
        <v>0</v>
      </c>
      <c r="F324" s="303">
        <v>0</v>
      </c>
      <c r="G324" s="303"/>
      <c r="H324" s="230"/>
      <c r="I324" s="277"/>
      <c r="J324" s="191"/>
    </row>
    <row r="325" spans="1:10" ht="63" hidden="1">
      <c r="A325" s="280">
        <v>5</v>
      </c>
      <c r="B325" s="301" t="s">
        <v>881</v>
      </c>
      <c r="C325" s="530" t="s">
        <v>882</v>
      </c>
      <c r="D325" s="531">
        <v>4</v>
      </c>
      <c r="E325" s="303">
        <f t="shared" si="2"/>
        <v>0</v>
      </c>
      <c r="F325" s="303">
        <v>0</v>
      </c>
      <c r="G325" s="303"/>
      <c r="H325" s="230"/>
      <c r="I325" s="277"/>
      <c r="J325" s="191"/>
    </row>
    <row r="326" spans="1:10" ht="15.75" hidden="1">
      <c r="A326" s="280">
        <v>6</v>
      </c>
      <c r="B326" s="301" t="s">
        <v>883</v>
      </c>
      <c r="C326" s="530" t="s">
        <v>884</v>
      </c>
      <c r="D326" s="531">
        <v>12</v>
      </c>
      <c r="E326" s="303">
        <f t="shared" si="2"/>
        <v>0</v>
      </c>
      <c r="F326" s="303">
        <v>0</v>
      </c>
      <c r="G326" s="303"/>
      <c r="H326" s="230"/>
      <c r="I326" s="277"/>
      <c r="J326" s="191"/>
    </row>
    <row r="327" spans="1:10" ht="78.75" hidden="1">
      <c r="A327" s="228">
        <v>7</v>
      </c>
      <c r="B327" s="301" t="s">
        <v>885</v>
      </c>
      <c r="C327" s="513" t="s">
        <v>886</v>
      </c>
      <c r="D327" s="202">
        <v>12</v>
      </c>
      <c r="E327" s="303">
        <f t="shared" si="2"/>
        <v>0</v>
      </c>
      <c r="F327" s="303">
        <v>0</v>
      </c>
      <c r="G327" s="303"/>
      <c r="H327" s="230"/>
      <c r="I327" s="277"/>
      <c r="J327" s="191"/>
    </row>
    <row r="328" spans="1:10" ht="25.5" hidden="1">
      <c r="A328" s="228">
        <v>8</v>
      </c>
      <c r="B328" s="301" t="s">
        <v>887</v>
      </c>
      <c r="C328" s="513" t="s">
        <v>888</v>
      </c>
      <c r="D328" s="202">
        <v>7</v>
      </c>
      <c r="E328" s="303">
        <f t="shared" si="2"/>
        <v>0</v>
      </c>
      <c r="F328" s="303">
        <v>0</v>
      </c>
      <c r="G328" s="303"/>
      <c r="H328" s="230"/>
      <c r="I328" s="277"/>
      <c r="J328" s="191"/>
    </row>
    <row r="329" spans="1:10" ht="78.75" hidden="1">
      <c r="A329" s="228">
        <v>9</v>
      </c>
      <c r="B329" s="301" t="s">
        <v>889</v>
      </c>
      <c r="C329" s="513" t="s">
        <v>890</v>
      </c>
      <c r="D329" s="202">
        <v>12</v>
      </c>
      <c r="E329" s="303">
        <f t="shared" si="2"/>
        <v>0</v>
      </c>
      <c r="F329" s="303">
        <v>0</v>
      </c>
      <c r="G329" s="303"/>
      <c r="H329" s="230"/>
      <c r="I329" s="277"/>
      <c r="J329" s="191"/>
    </row>
    <row r="330" spans="1:10" ht="63" hidden="1">
      <c r="A330" s="228">
        <v>10</v>
      </c>
      <c r="B330" s="301" t="s">
        <v>891</v>
      </c>
      <c r="C330" s="513" t="s">
        <v>892</v>
      </c>
      <c r="D330" s="202">
        <v>12</v>
      </c>
      <c r="E330" s="303">
        <f t="shared" si="2"/>
        <v>0</v>
      </c>
      <c r="F330" s="303">
        <v>0</v>
      </c>
      <c r="G330" s="303"/>
      <c r="H330" s="230"/>
      <c r="I330" s="277"/>
      <c r="J330" s="191"/>
    </row>
    <row r="331" spans="1:10" ht="25.5" hidden="1">
      <c r="A331" s="228">
        <v>11</v>
      </c>
      <c r="B331" s="301" t="s">
        <v>893</v>
      </c>
      <c r="C331" s="513" t="s">
        <v>894</v>
      </c>
      <c r="D331" s="202">
        <v>12</v>
      </c>
      <c r="E331" s="303">
        <f t="shared" si="2"/>
        <v>0</v>
      </c>
      <c r="F331" s="303">
        <v>0</v>
      </c>
      <c r="G331" s="303"/>
      <c r="H331" s="230"/>
      <c r="I331" s="277"/>
      <c r="J331" s="191"/>
    </row>
    <row r="332" spans="1:10" ht="15.75" hidden="1">
      <c r="A332" s="228">
        <v>12</v>
      </c>
      <c r="B332" s="301" t="s">
        <v>895</v>
      </c>
      <c r="C332" s="513" t="s">
        <v>896</v>
      </c>
      <c r="D332" s="202">
        <v>1</v>
      </c>
      <c r="E332" s="303">
        <f t="shared" si="2"/>
        <v>0</v>
      </c>
      <c r="F332" s="303">
        <v>0</v>
      </c>
      <c r="G332" s="303"/>
      <c r="H332" s="230"/>
      <c r="I332" s="277"/>
      <c r="J332" s="191"/>
    </row>
    <row r="333" spans="1:10" ht="31.5" hidden="1">
      <c r="A333" s="228">
        <v>13</v>
      </c>
      <c r="B333" s="301" t="s">
        <v>897</v>
      </c>
      <c r="C333" s="513"/>
      <c r="D333" s="202">
        <v>1</v>
      </c>
      <c r="E333" s="303">
        <f t="shared" si="2"/>
        <v>0</v>
      </c>
      <c r="F333" s="303">
        <v>0</v>
      </c>
      <c r="G333" s="303"/>
      <c r="H333" s="230"/>
      <c r="I333" s="277"/>
      <c r="J333" s="191"/>
    </row>
    <row r="334" spans="1:10" ht="15.75" hidden="1">
      <c r="A334" s="199">
        <v>14</v>
      </c>
      <c r="B334" s="301" t="s">
        <v>898</v>
      </c>
      <c r="C334" s="513"/>
      <c r="D334" s="202">
        <v>1</v>
      </c>
      <c r="E334" s="303">
        <f t="shared" si="2"/>
        <v>0</v>
      </c>
      <c r="F334" s="303">
        <v>0</v>
      </c>
      <c r="G334" s="303"/>
      <c r="H334" s="275"/>
      <c r="I334" s="277"/>
      <c r="J334" s="191"/>
    </row>
    <row r="335" spans="1:10" ht="15.75" hidden="1">
      <c r="A335" s="199">
        <v>15</v>
      </c>
      <c r="B335" s="301" t="s">
        <v>899</v>
      </c>
      <c r="C335" s="513"/>
      <c r="D335" s="202">
        <v>1</v>
      </c>
      <c r="E335" s="303">
        <f t="shared" si="2"/>
        <v>0</v>
      </c>
      <c r="F335" s="303">
        <v>0</v>
      </c>
      <c r="G335" s="303"/>
      <c r="H335" s="275"/>
      <c r="I335" s="277"/>
      <c r="J335" s="191"/>
    </row>
    <row r="336" spans="1:10" ht="16.5" hidden="1">
      <c r="A336" s="683" t="s">
        <v>561</v>
      </c>
      <c r="B336" s="684"/>
      <c r="C336" s="201" t="s">
        <v>562</v>
      </c>
      <c r="D336" s="201" t="s">
        <v>562</v>
      </c>
      <c r="E336" s="524">
        <f>SUM(E321:E335)</f>
        <v>0</v>
      </c>
      <c r="F336" s="524">
        <f>SUM(F321:F335)</f>
        <v>0</v>
      </c>
      <c r="G336" s="524">
        <f>SUM(G321:G335)</f>
        <v>0</v>
      </c>
      <c r="H336" s="275"/>
      <c r="I336" s="277"/>
      <c r="J336" s="191"/>
    </row>
    <row r="337" spans="1:10" ht="18.75">
      <c r="A337" s="527"/>
      <c r="B337" s="527"/>
      <c r="C337" s="528"/>
      <c r="D337" s="528"/>
      <c r="E337" s="529"/>
      <c r="F337" s="529"/>
      <c r="G337" s="529"/>
      <c r="H337" s="230"/>
      <c r="I337" s="277"/>
      <c r="J337" s="191"/>
    </row>
    <row r="338" spans="1:11" ht="53.25" customHeight="1">
      <c r="A338" s="682" t="s">
        <v>671</v>
      </c>
      <c r="B338" s="682"/>
      <c r="C338" s="682"/>
      <c r="D338" s="682"/>
      <c r="E338" s="682"/>
      <c r="F338" s="682"/>
      <c r="G338" s="682"/>
      <c r="H338" s="682"/>
      <c r="I338" s="682"/>
      <c r="J338" s="682"/>
      <c r="K338" s="682"/>
    </row>
    <row r="339" spans="1:10" ht="15.75">
      <c r="A339" s="236"/>
      <c r="B339" s="191"/>
      <c r="C339" s="236"/>
      <c r="D339" s="236"/>
      <c r="E339" s="236"/>
      <c r="F339" s="236"/>
      <c r="G339" s="191"/>
      <c r="H339" s="277"/>
      <c r="I339" s="277"/>
      <c r="J339" s="191"/>
    </row>
    <row r="340" spans="1:10" ht="15.75">
      <c r="A340" s="282"/>
      <c r="B340" s="282" t="s">
        <v>672</v>
      </c>
      <c r="C340" s="282"/>
      <c r="D340" s="282"/>
      <c r="E340" s="282"/>
      <c r="F340" s="236"/>
      <c r="G340" s="191"/>
      <c r="H340" s="277"/>
      <c r="I340" s="277"/>
      <c r="J340" s="191"/>
    </row>
    <row r="341" spans="1:10" ht="15.75">
      <c r="A341" s="236"/>
      <c r="B341" s="191"/>
      <c r="C341" s="236"/>
      <c r="D341" s="236"/>
      <c r="E341" s="236"/>
      <c r="F341" s="236"/>
      <c r="G341" s="191"/>
      <c r="H341" s="277"/>
      <c r="I341" s="277"/>
      <c r="J341" s="191"/>
    </row>
    <row r="342" spans="1:10" ht="15.75">
      <c r="A342" s="670" t="s">
        <v>545</v>
      </c>
      <c r="B342" s="685" t="s">
        <v>1</v>
      </c>
      <c r="C342" s="685" t="s">
        <v>673</v>
      </c>
      <c r="D342" s="666" t="s">
        <v>579</v>
      </c>
      <c r="E342" s="686"/>
      <c r="F342" s="667"/>
      <c r="G342" s="256"/>
      <c r="H342" s="277"/>
      <c r="I342" s="277"/>
      <c r="J342" s="191"/>
    </row>
    <row r="343" spans="1:10" ht="31.5">
      <c r="A343" s="671"/>
      <c r="B343" s="685"/>
      <c r="C343" s="685"/>
      <c r="D343" s="269" t="s">
        <v>674</v>
      </c>
      <c r="E343" s="235" t="s">
        <v>557</v>
      </c>
      <c r="F343" s="235" t="s">
        <v>563</v>
      </c>
      <c r="G343" s="271"/>
      <c r="H343" s="277"/>
      <c r="I343" s="277"/>
      <c r="J343" s="191"/>
    </row>
    <row r="344" spans="1:10" ht="15.75">
      <c r="A344" s="280">
        <v>1</v>
      </c>
      <c r="B344" s="281">
        <v>2</v>
      </c>
      <c r="C344" s="281">
        <v>3</v>
      </c>
      <c r="D344" s="273">
        <v>5</v>
      </c>
      <c r="E344" s="228">
        <v>5</v>
      </c>
      <c r="F344" s="228">
        <v>6</v>
      </c>
      <c r="G344" s="230"/>
      <c r="H344" s="277"/>
      <c r="I344" s="277"/>
      <c r="J344" s="191"/>
    </row>
    <row r="345" spans="1:10" ht="47.25">
      <c r="A345" s="280">
        <v>1</v>
      </c>
      <c r="B345" s="294" t="s">
        <v>675</v>
      </c>
      <c r="C345" s="294">
        <v>5</v>
      </c>
      <c r="D345" s="288">
        <f aca="true" t="shared" si="3" ref="D345:D350">SUM(E345:F345)</f>
        <v>130583.95999999999</v>
      </c>
      <c r="E345" s="307">
        <v>71269</v>
      </c>
      <c r="F345" s="307">
        <f>160583.06-101268.1</f>
        <v>59314.95999999999</v>
      </c>
      <c r="G345" s="230"/>
      <c r="H345" s="277"/>
      <c r="I345" s="277"/>
      <c r="J345" s="191"/>
    </row>
    <row r="346" spans="1:10" ht="31.5">
      <c r="A346" s="280">
        <v>2</v>
      </c>
      <c r="B346" s="294" t="s">
        <v>676</v>
      </c>
      <c r="C346" s="294">
        <v>5</v>
      </c>
      <c r="D346" s="288">
        <f t="shared" si="3"/>
        <v>56872.94</v>
      </c>
      <c r="E346" s="288">
        <v>30000</v>
      </c>
      <c r="F346" s="288">
        <v>26872.94</v>
      </c>
      <c r="G346" s="230"/>
      <c r="H346" s="277"/>
      <c r="I346" s="277"/>
      <c r="J346" s="191"/>
    </row>
    <row r="347" spans="1:10" ht="15.75">
      <c r="A347" s="280">
        <v>3</v>
      </c>
      <c r="B347" s="294" t="s">
        <v>677</v>
      </c>
      <c r="C347" s="294">
        <v>2</v>
      </c>
      <c r="D347" s="288">
        <f t="shared" si="3"/>
        <v>40000</v>
      </c>
      <c r="E347" s="288">
        <v>0</v>
      </c>
      <c r="F347" s="288">
        <v>40000</v>
      </c>
      <c r="G347" s="230"/>
      <c r="H347" s="277"/>
      <c r="I347" s="277"/>
      <c r="J347" s="191"/>
    </row>
    <row r="348" spans="1:10" ht="15.75">
      <c r="A348" s="280">
        <v>4</v>
      </c>
      <c r="B348" s="294" t="s">
        <v>678</v>
      </c>
      <c r="C348" s="294">
        <v>1</v>
      </c>
      <c r="D348" s="288">
        <f t="shared" si="3"/>
        <v>78000</v>
      </c>
      <c r="E348" s="288">
        <v>0</v>
      </c>
      <c r="F348" s="288">
        <v>78000</v>
      </c>
      <c r="G348" s="230"/>
      <c r="H348" s="277"/>
      <c r="I348" s="277"/>
      <c r="J348" s="191"/>
    </row>
    <row r="349" spans="1:10" ht="15.75">
      <c r="A349" s="280">
        <v>5</v>
      </c>
      <c r="B349" s="463" t="s">
        <v>794</v>
      </c>
      <c r="C349" s="464"/>
      <c r="D349" s="288">
        <f t="shared" si="3"/>
        <v>312180</v>
      </c>
      <c r="E349" s="288"/>
      <c r="F349" s="288">
        <v>312180</v>
      </c>
      <c r="G349" s="230"/>
      <c r="H349" s="277"/>
      <c r="I349" s="277"/>
      <c r="J349" s="191"/>
    </row>
    <row r="350" spans="1:10" ht="47.25">
      <c r="A350" s="550">
        <v>6</v>
      </c>
      <c r="B350" s="294" t="s">
        <v>901</v>
      </c>
      <c r="C350" s="531">
        <v>1</v>
      </c>
      <c r="D350" s="288">
        <f t="shared" si="3"/>
        <v>17400</v>
      </c>
      <c r="E350" s="554">
        <v>0</v>
      </c>
      <c r="F350" s="554">
        <v>17400</v>
      </c>
      <c r="G350" s="230"/>
      <c r="H350" s="277"/>
      <c r="I350" s="277"/>
      <c r="J350" s="191"/>
    </row>
    <row r="351" spans="1:10" ht="47.25">
      <c r="A351" s="550">
        <v>7</v>
      </c>
      <c r="B351" s="294" t="s">
        <v>902</v>
      </c>
      <c r="C351" s="531">
        <v>1</v>
      </c>
      <c r="D351" s="288">
        <f aca="true" t="shared" si="4" ref="D351:D362">SUM(E351:F351)</f>
        <v>13800</v>
      </c>
      <c r="E351" s="554">
        <v>0</v>
      </c>
      <c r="F351" s="554">
        <v>13800</v>
      </c>
      <c r="G351" s="230"/>
      <c r="H351" s="277"/>
      <c r="I351" s="277"/>
      <c r="J351" s="191"/>
    </row>
    <row r="352" spans="1:10" ht="63">
      <c r="A352" s="550">
        <v>8</v>
      </c>
      <c r="B352" s="294" t="s">
        <v>903</v>
      </c>
      <c r="C352" s="531">
        <v>1</v>
      </c>
      <c r="D352" s="288">
        <f t="shared" si="4"/>
        <v>21000</v>
      </c>
      <c r="E352" s="554">
        <v>0</v>
      </c>
      <c r="F352" s="554">
        <v>21000</v>
      </c>
      <c r="G352" s="230"/>
      <c r="H352" s="277"/>
      <c r="I352" s="277"/>
      <c r="J352" s="191"/>
    </row>
    <row r="353" spans="1:10" ht="15.75">
      <c r="A353" s="550">
        <v>9</v>
      </c>
      <c r="B353" s="294" t="s">
        <v>904</v>
      </c>
      <c r="C353" s="531">
        <v>1</v>
      </c>
      <c r="D353" s="288">
        <f t="shared" si="4"/>
        <v>24000</v>
      </c>
      <c r="E353" s="554">
        <v>0</v>
      </c>
      <c r="F353" s="554">
        <v>24000</v>
      </c>
      <c r="G353" s="230"/>
      <c r="H353" s="277"/>
      <c r="I353" s="277"/>
      <c r="J353" s="191"/>
    </row>
    <row r="354" spans="1:10" ht="31.5">
      <c r="A354" s="550">
        <v>10</v>
      </c>
      <c r="B354" s="294" t="s">
        <v>905</v>
      </c>
      <c r="C354" s="531">
        <v>1</v>
      </c>
      <c r="D354" s="288">
        <f t="shared" si="4"/>
        <v>31311</v>
      </c>
      <c r="E354" s="554">
        <v>0</v>
      </c>
      <c r="F354" s="554">
        <v>31311</v>
      </c>
      <c r="G354" s="230"/>
      <c r="H354" s="277"/>
      <c r="I354" s="277"/>
      <c r="J354" s="191"/>
    </row>
    <row r="355" spans="1:10" ht="31.5">
      <c r="A355" s="550">
        <v>11</v>
      </c>
      <c r="B355" s="294" t="s">
        <v>906</v>
      </c>
      <c r="C355" s="531">
        <v>1</v>
      </c>
      <c r="D355" s="288">
        <f t="shared" si="4"/>
        <v>30348</v>
      </c>
      <c r="E355" s="554">
        <v>0</v>
      </c>
      <c r="F355" s="554">
        <v>30348</v>
      </c>
      <c r="G355" s="230"/>
      <c r="H355" s="277"/>
      <c r="I355" s="277"/>
      <c r="J355" s="191"/>
    </row>
    <row r="356" spans="1:10" ht="15.75">
      <c r="A356" s="550">
        <v>12</v>
      </c>
      <c r="B356" s="294" t="s">
        <v>907</v>
      </c>
      <c r="C356" s="531">
        <v>1</v>
      </c>
      <c r="D356" s="288">
        <f t="shared" si="4"/>
        <v>8900</v>
      </c>
      <c r="E356" s="554">
        <v>0</v>
      </c>
      <c r="F356" s="554">
        <v>8900</v>
      </c>
      <c r="G356" s="230"/>
      <c r="H356" s="277"/>
      <c r="I356" s="277"/>
      <c r="J356" s="191"/>
    </row>
    <row r="357" spans="1:10" ht="15.75">
      <c r="A357" s="550">
        <v>13</v>
      </c>
      <c r="B357" s="294" t="s">
        <v>904</v>
      </c>
      <c r="C357" s="531">
        <v>1</v>
      </c>
      <c r="D357" s="288">
        <f t="shared" si="4"/>
        <v>744600</v>
      </c>
      <c r="E357" s="554">
        <v>0</v>
      </c>
      <c r="F357" s="554">
        <v>744600</v>
      </c>
      <c r="G357" s="230"/>
      <c r="H357" s="277"/>
      <c r="I357" s="277"/>
      <c r="J357" s="191"/>
    </row>
    <row r="358" spans="1:10" ht="31.5">
      <c r="A358" s="550">
        <v>14</v>
      </c>
      <c r="B358" s="294" t="s">
        <v>908</v>
      </c>
      <c r="C358" s="531">
        <v>1</v>
      </c>
      <c r="D358" s="288">
        <f t="shared" si="4"/>
        <v>8500</v>
      </c>
      <c r="E358" s="554">
        <v>0</v>
      </c>
      <c r="F358" s="554">
        <v>8500</v>
      </c>
      <c r="G358" s="230"/>
      <c r="H358" s="277"/>
      <c r="I358" s="277"/>
      <c r="J358" s="191"/>
    </row>
    <row r="359" spans="1:10" ht="31.5">
      <c r="A359" s="550">
        <v>15</v>
      </c>
      <c r="B359" s="294" t="s">
        <v>909</v>
      </c>
      <c r="C359" s="531">
        <v>1</v>
      </c>
      <c r="D359" s="288">
        <f t="shared" si="4"/>
        <v>0</v>
      </c>
      <c r="E359" s="554">
        <v>0</v>
      </c>
      <c r="F359" s="554"/>
      <c r="G359" s="230"/>
      <c r="H359" s="277"/>
      <c r="I359" s="277"/>
      <c r="J359" s="191"/>
    </row>
    <row r="360" spans="1:10" ht="15.75">
      <c r="A360" s="550">
        <v>16</v>
      </c>
      <c r="B360" s="294" t="s">
        <v>910</v>
      </c>
      <c r="C360" s="531">
        <v>1</v>
      </c>
      <c r="D360" s="288">
        <f t="shared" si="4"/>
        <v>3000</v>
      </c>
      <c r="E360" s="554">
        <v>0</v>
      </c>
      <c r="F360" s="554">
        <v>3000</v>
      </c>
      <c r="G360" s="230"/>
      <c r="H360" s="277"/>
      <c r="I360" s="277"/>
      <c r="J360" s="191"/>
    </row>
    <row r="361" spans="1:10" ht="15.75">
      <c r="A361" s="550">
        <v>17</v>
      </c>
      <c r="B361" s="294" t="s">
        <v>911</v>
      </c>
      <c r="C361" s="214">
        <v>1</v>
      </c>
      <c r="D361" s="288">
        <f t="shared" si="4"/>
        <v>7000</v>
      </c>
      <c r="E361" s="554">
        <v>0</v>
      </c>
      <c r="F361" s="554">
        <v>7000</v>
      </c>
      <c r="G361" s="230"/>
      <c r="H361" s="277"/>
      <c r="I361" s="277"/>
      <c r="J361" s="191"/>
    </row>
    <row r="362" spans="1:10" ht="63">
      <c r="A362" s="550">
        <v>18</v>
      </c>
      <c r="B362" s="294" t="s">
        <v>912</v>
      </c>
      <c r="C362" s="214">
        <v>1</v>
      </c>
      <c r="D362" s="288">
        <f t="shared" si="4"/>
        <v>12000</v>
      </c>
      <c r="E362" s="554">
        <v>12000</v>
      </c>
      <c r="F362" s="554">
        <v>0</v>
      </c>
      <c r="G362" s="230"/>
      <c r="H362" s="277"/>
      <c r="I362" s="277"/>
      <c r="J362" s="191"/>
    </row>
    <row r="363" spans="1:10" ht="15.75">
      <c r="A363" s="550"/>
      <c r="B363" s="463"/>
      <c r="C363" s="464"/>
      <c r="D363" s="288"/>
      <c r="E363" s="288"/>
      <c r="F363" s="288"/>
      <c r="G363" s="230"/>
      <c r="H363" s="277"/>
      <c r="I363" s="277"/>
      <c r="J363" s="191"/>
    </row>
    <row r="364" spans="1:10" ht="15.75">
      <c r="A364" s="550"/>
      <c r="B364" s="463"/>
      <c r="C364" s="464"/>
      <c r="D364" s="288"/>
      <c r="E364" s="288"/>
      <c r="F364" s="288"/>
      <c r="G364" s="230"/>
      <c r="H364" s="277"/>
      <c r="I364" s="277"/>
      <c r="J364" s="191"/>
    </row>
    <row r="365" spans="1:10" ht="15.75">
      <c r="A365" s="550"/>
      <c r="B365" s="463"/>
      <c r="C365" s="464"/>
      <c r="D365" s="288"/>
      <c r="E365" s="288"/>
      <c r="F365" s="288"/>
      <c r="G365" s="230"/>
      <c r="H365" s="277"/>
      <c r="I365" s="277"/>
      <c r="J365" s="191"/>
    </row>
    <row r="366" spans="1:10" ht="15.75">
      <c r="A366" s="550"/>
      <c r="B366" s="463"/>
      <c r="C366" s="464"/>
      <c r="D366" s="288"/>
      <c r="E366" s="288"/>
      <c r="F366" s="288"/>
      <c r="G366" s="230"/>
      <c r="H366" s="277"/>
      <c r="I366" s="277"/>
      <c r="J366" s="191"/>
    </row>
    <row r="367" spans="1:10" ht="15.75">
      <c r="A367" s="550"/>
      <c r="B367" s="463"/>
      <c r="C367" s="464"/>
      <c r="D367" s="288"/>
      <c r="E367" s="288"/>
      <c r="F367" s="288"/>
      <c r="G367" s="230"/>
      <c r="H367" s="277"/>
      <c r="I367" s="277"/>
      <c r="J367" s="191"/>
    </row>
    <row r="368" spans="1:10" ht="15.75">
      <c r="A368" s="683" t="s">
        <v>561</v>
      </c>
      <c r="B368" s="684"/>
      <c r="C368" s="201" t="s">
        <v>562</v>
      </c>
      <c r="D368" s="291">
        <f>SUM(D345:D362)</f>
        <v>1539495.9</v>
      </c>
      <c r="E368" s="291">
        <f>SUM(E345:E362)</f>
        <v>113269</v>
      </c>
      <c r="F368" s="291">
        <f>SUM(F345:F361)</f>
        <v>1426226.9</v>
      </c>
      <c r="G368" s="275"/>
      <c r="H368" s="277"/>
      <c r="I368" s="277"/>
      <c r="J368" s="191"/>
    </row>
    <row r="369" spans="1:10" ht="15.75">
      <c r="A369" s="236"/>
      <c r="B369" s="191"/>
      <c r="C369" s="236"/>
      <c r="D369" s="236"/>
      <c r="E369" s="236"/>
      <c r="F369" s="236"/>
      <c r="G369" s="191"/>
      <c r="H369" s="277"/>
      <c r="I369" s="277"/>
      <c r="J369" s="191"/>
    </row>
    <row r="370" spans="1:10" ht="15.75" hidden="1">
      <c r="A370" s="282"/>
      <c r="B370" s="282" t="s">
        <v>900</v>
      </c>
      <c r="C370" s="282"/>
      <c r="D370" s="282"/>
      <c r="E370" s="282"/>
      <c r="F370" s="236"/>
      <c r="G370" s="191"/>
      <c r="H370" s="277"/>
      <c r="I370" s="277"/>
      <c r="J370" s="191"/>
    </row>
    <row r="371" spans="1:10" ht="15.75" hidden="1">
      <c r="A371" s="236"/>
      <c r="B371" s="191"/>
      <c r="C371" s="236"/>
      <c r="D371" s="236"/>
      <c r="E371" s="236"/>
      <c r="F371" s="236"/>
      <c r="G371" s="191"/>
      <c r="H371" s="277"/>
      <c r="I371" s="277"/>
      <c r="J371" s="191"/>
    </row>
    <row r="372" spans="1:10" ht="15.75" hidden="1">
      <c r="A372" s="670" t="s">
        <v>545</v>
      </c>
      <c r="B372" s="685" t="s">
        <v>1</v>
      </c>
      <c r="C372" s="685" t="s">
        <v>673</v>
      </c>
      <c r="D372" s="666" t="s">
        <v>579</v>
      </c>
      <c r="E372" s="686"/>
      <c r="F372" s="667"/>
      <c r="G372" s="256"/>
      <c r="H372" s="277"/>
      <c r="I372" s="277"/>
      <c r="J372" s="191"/>
    </row>
    <row r="373" spans="1:10" ht="31.5" hidden="1">
      <c r="A373" s="671"/>
      <c r="B373" s="685"/>
      <c r="C373" s="685"/>
      <c r="D373" s="269" t="s">
        <v>674</v>
      </c>
      <c r="E373" s="235" t="s">
        <v>557</v>
      </c>
      <c r="F373" s="235" t="s">
        <v>563</v>
      </c>
      <c r="G373" s="271"/>
      <c r="H373" s="277"/>
      <c r="I373" s="277"/>
      <c r="J373" s="191"/>
    </row>
    <row r="374" spans="1:10" ht="15.75" hidden="1">
      <c r="A374" s="280">
        <v>1</v>
      </c>
      <c r="B374" s="281">
        <v>2</v>
      </c>
      <c r="C374" s="281">
        <v>3</v>
      </c>
      <c r="D374" s="273">
        <v>5</v>
      </c>
      <c r="E374" s="228">
        <v>5</v>
      </c>
      <c r="F374" s="228">
        <v>6</v>
      </c>
      <c r="G374" s="230"/>
      <c r="H374" s="277"/>
      <c r="I374" s="277"/>
      <c r="J374" s="191"/>
    </row>
    <row r="375" spans="1:10" ht="47.25" hidden="1">
      <c r="A375" s="280">
        <v>1</v>
      </c>
      <c r="B375" s="294" t="s">
        <v>901</v>
      </c>
      <c r="C375" s="531">
        <v>1</v>
      </c>
      <c r="D375" s="288">
        <f>SUM(E375:F375)</f>
        <v>0</v>
      </c>
      <c r="E375" s="288"/>
      <c r="F375" s="288"/>
      <c r="G375" s="230"/>
      <c r="H375" s="277"/>
      <c r="I375" s="277"/>
      <c r="J375" s="191"/>
    </row>
    <row r="376" spans="1:10" ht="47.25" hidden="1">
      <c r="A376" s="280">
        <v>2</v>
      </c>
      <c r="B376" s="294" t="s">
        <v>902</v>
      </c>
      <c r="C376" s="531">
        <v>1</v>
      </c>
      <c r="D376" s="288">
        <f aca="true" t="shared" si="5" ref="D376:D387">SUM(E376:F376)</f>
        <v>0</v>
      </c>
      <c r="E376" s="288"/>
      <c r="F376" s="288"/>
      <c r="G376" s="230"/>
      <c r="H376" s="277"/>
      <c r="I376" s="277"/>
      <c r="J376" s="191"/>
    </row>
    <row r="377" spans="1:10" ht="63" hidden="1">
      <c r="A377" s="280">
        <v>3</v>
      </c>
      <c r="B377" s="294" t="s">
        <v>903</v>
      </c>
      <c r="C377" s="531">
        <v>1</v>
      </c>
      <c r="D377" s="288">
        <f t="shared" si="5"/>
        <v>0</v>
      </c>
      <c r="E377" s="288"/>
      <c r="F377" s="288"/>
      <c r="G377" s="230"/>
      <c r="H377" s="277"/>
      <c r="I377" s="277"/>
      <c r="J377" s="191"/>
    </row>
    <row r="378" spans="1:10" ht="15.75" hidden="1">
      <c r="A378" s="280">
        <v>4</v>
      </c>
      <c r="B378" s="294" t="s">
        <v>904</v>
      </c>
      <c r="C378" s="531">
        <v>1</v>
      </c>
      <c r="D378" s="288">
        <f t="shared" si="5"/>
        <v>0</v>
      </c>
      <c r="E378" s="288"/>
      <c r="F378" s="288"/>
      <c r="G378" s="230"/>
      <c r="H378" s="277"/>
      <c r="I378" s="277"/>
      <c r="J378" s="191"/>
    </row>
    <row r="379" spans="1:10" ht="31.5" hidden="1">
      <c r="A379" s="280">
        <v>5</v>
      </c>
      <c r="B379" s="294" t="s">
        <v>905</v>
      </c>
      <c r="C379" s="531">
        <v>1</v>
      </c>
      <c r="D379" s="288">
        <f t="shared" si="5"/>
        <v>0</v>
      </c>
      <c r="E379" s="288"/>
      <c r="F379" s="288"/>
      <c r="G379" s="230"/>
      <c r="H379" s="277"/>
      <c r="I379" s="277"/>
      <c r="J379" s="191"/>
    </row>
    <row r="380" spans="1:10" ht="31.5" hidden="1">
      <c r="A380" s="280">
        <v>6</v>
      </c>
      <c r="B380" s="294" t="s">
        <v>906</v>
      </c>
      <c r="C380" s="531">
        <v>1</v>
      </c>
      <c r="D380" s="288">
        <f t="shared" si="5"/>
        <v>0</v>
      </c>
      <c r="E380" s="288"/>
      <c r="F380" s="288"/>
      <c r="G380" s="230"/>
      <c r="H380" s="277"/>
      <c r="I380" s="277"/>
      <c r="J380" s="191"/>
    </row>
    <row r="381" spans="1:10" ht="15.75" hidden="1">
      <c r="A381" s="280">
        <v>7</v>
      </c>
      <c r="B381" s="294" t="s">
        <v>907</v>
      </c>
      <c r="C381" s="531">
        <v>1</v>
      </c>
      <c r="D381" s="288">
        <f t="shared" si="5"/>
        <v>0</v>
      </c>
      <c r="E381" s="288"/>
      <c r="F381" s="288"/>
      <c r="G381" s="230"/>
      <c r="H381" s="277"/>
      <c r="I381" s="277"/>
      <c r="J381" s="191"/>
    </row>
    <row r="382" spans="1:10" ht="15.75" hidden="1">
      <c r="A382" s="280">
        <v>8</v>
      </c>
      <c r="B382" s="294" t="s">
        <v>904</v>
      </c>
      <c r="C382" s="531">
        <v>1</v>
      </c>
      <c r="D382" s="288">
        <f t="shared" si="5"/>
        <v>0</v>
      </c>
      <c r="E382" s="288"/>
      <c r="F382" s="288"/>
      <c r="G382" s="230"/>
      <c r="H382" s="277"/>
      <c r="I382" s="277"/>
      <c r="J382" s="191"/>
    </row>
    <row r="383" spans="1:10" ht="31.5" hidden="1">
      <c r="A383" s="280">
        <v>9</v>
      </c>
      <c r="B383" s="294" t="s">
        <v>908</v>
      </c>
      <c r="C383" s="531">
        <v>1</v>
      </c>
      <c r="D383" s="288">
        <f t="shared" si="5"/>
        <v>0</v>
      </c>
      <c r="E383" s="288"/>
      <c r="F383" s="288"/>
      <c r="G383" s="230"/>
      <c r="H383" s="277"/>
      <c r="I383" s="277"/>
      <c r="J383" s="191"/>
    </row>
    <row r="384" spans="1:10" ht="31.5" hidden="1">
      <c r="A384" s="280">
        <v>10</v>
      </c>
      <c r="B384" s="294" t="s">
        <v>909</v>
      </c>
      <c r="C384" s="531">
        <v>1</v>
      </c>
      <c r="D384" s="288">
        <f t="shared" si="5"/>
        <v>0</v>
      </c>
      <c r="E384" s="288"/>
      <c r="F384" s="288"/>
      <c r="G384" s="230"/>
      <c r="H384" s="277"/>
      <c r="I384" s="277"/>
      <c r="J384" s="191"/>
    </row>
    <row r="385" spans="1:10" ht="15.75" hidden="1">
      <c r="A385" s="280">
        <v>11</v>
      </c>
      <c r="B385" s="294" t="s">
        <v>910</v>
      </c>
      <c r="C385" s="531">
        <v>1</v>
      </c>
      <c r="D385" s="288">
        <f t="shared" si="5"/>
        <v>0</v>
      </c>
      <c r="E385" s="288"/>
      <c r="F385" s="288"/>
      <c r="G385" s="230"/>
      <c r="H385" s="277"/>
      <c r="I385" s="277"/>
      <c r="J385" s="191"/>
    </row>
    <row r="386" spans="1:10" ht="15.75" hidden="1">
      <c r="A386" s="199">
        <v>12</v>
      </c>
      <c r="B386" s="294" t="s">
        <v>911</v>
      </c>
      <c r="C386" s="214">
        <v>1</v>
      </c>
      <c r="D386" s="288">
        <f t="shared" si="5"/>
        <v>0</v>
      </c>
      <c r="E386" s="288"/>
      <c r="F386" s="288"/>
      <c r="G386" s="230"/>
      <c r="H386" s="277"/>
      <c r="I386" s="277"/>
      <c r="J386" s="191"/>
    </row>
    <row r="387" spans="1:10" ht="63" hidden="1">
      <c r="A387" s="199">
        <v>13</v>
      </c>
      <c r="B387" s="294" t="s">
        <v>912</v>
      </c>
      <c r="C387" s="214">
        <v>1</v>
      </c>
      <c r="D387" s="288">
        <f t="shared" si="5"/>
        <v>0</v>
      </c>
      <c r="E387" s="288"/>
      <c r="F387" s="288"/>
      <c r="G387" s="275"/>
      <c r="H387" s="277"/>
      <c r="I387" s="277"/>
      <c r="J387" s="191"/>
    </row>
    <row r="388" spans="1:10" ht="16.5" hidden="1">
      <c r="A388" s="683" t="s">
        <v>561</v>
      </c>
      <c r="B388" s="684"/>
      <c r="C388" s="201" t="s">
        <v>562</v>
      </c>
      <c r="D388" s="524">
        <f>SUM(D375:D387)</f>
        <v>0</v>
      </c>
      <c r="E388" s="524">
        <f>SUM(E375:E387)</f>
        <v>0</v>
      </c>
      <c r="F388" s="524">
        <f>SUM(F375:F387)</f>
        <v>0</v>
      </c>
      <c r="G388" s="275"/>
      <c r="H388" s="277"/>
      <c r="I388" s="277"/>
      <c r="J388" s="191"/>
    </row>
    <row r="389" spans="1:10" ht="15.75">
      <c r="A389" s="236"/>
      <c r="B389" s="191"/>
      <c r="C389" s="236"/>
      <c r="D389" s="236"/>
      <c r="E389" s="236"/>
      <c r="F389" s="236"/>
      <c r="G389" s="191"/>
      <c r="H389" s="277"/>
      <c r="I389" s="277"/>
      <c r="J389" s="191"/>
    </row>
    <row r="390" spans="1:11" ht="149.25" customHeight="1">
      <c r="A390" s="682" t="s">
        <v>679</v>
      </c>
      <c r="B390" s="682"/>
      <c r="C390" s="682"/>
      <c r="D390" s="682"/>
      <c r="E390" s="682"/>
      <c r="F390" s="682"/>
      <c r="G390" s="682"/>
      <c r="H390" s="682"/>
      <c r="I390" s="682"/>
      <c r="J390" s="682"/>
      <c r="K390" s="682"/>
    </row>
    <row r="391" spans="1:10" ht="15.75">
      <c r="A391" s="236"/>
      <c r="B391" s="191"/>
      <c r="C391" s="236"/>
      <c r="D391" s="236"/>
      <c r="E391" s="236"/>
      <c r="F391" s="236"/>
      <c r="G391" s="191"/>
      <c r="H391" s="277"/>
      <c r="I391" s="277"/>
      <c r="J391" s="191"/>
    </row>
    <row r="392" spans="1:4" ht="15.75">
      <c r="A392" s="193"/>
      <c r="B392" s="193" t="s">
        <v>959</v>
      </c>
      <c r="C392" s="193"/>
      <c r="D392" s="193"/>
    </row>
    <row r="393" ht="15.75">
      <c r="B393" s="185"/>
    </row>
    <row r="394" spans="1:10" ht="25.5" customHeight="1">
      <c r="A394" s="670" t="s">
        <v>545</v>
      </c>
      <c r="B394" s="670" t="s">
        <v>566</v>
      </c>
      <c r="C394" s="672"/>
      <c r="D394" s="674" t="s">
        <v>651</v>
      </c>
      <c r="E394" s="676" t="s">
        <v>681</v>
      </c>
      <c r="F394" s="652" t="s">
        <v>579</v>
      </c>
      <c r="G394" s="652"/>
      <c r="H394" s="652"/>
      <c r="I394" s="308"/>
      <c r="J394" s="225"/>
    </row>
    <row r="395" spans="1:10" ht="54.75" customHeight="1">
      <c r="A395" s="671"/>
      <c r="B395" s="671"/>
      <c r="C395" s="673"/>
      <c r="D395" s="675"/>
      <c r="E395" s="677"/>
      <c r="F395" s="226" t="s">
        <v>682</v>
      </c>
      <c r="G395" s="226" t="s">
        <v>557</v>
      </c>
      <c r="H395" s="226" t="s">
        <v>563</v>
      </c>
      <c r="I395" s="191"/>
      <c r="J395" s="227"/>
    </row>
    <row r="396" spans="1:10" ht="15.75" customHeight="1">
      <c r="A396" s="231">
        <v>1</v>
      </c>
      <c r="B396" s="653">
        <v>2</v>
      </c>
      <c r="C396" s="654"/>
      <c r="D396" s="231">
        <v>3</v>
      </c>
      <c r="E396" s="231">
        <v>4</v>
      </c>
      <c r="F396" s="231">
        <v>5</v>
      </c>
      <c r="G396" s="231">
        <v>6</v>
      </c>
      <c r="H396" s="231">
        <v>7</v>
      </c>
      <c r="I396" s="277"/>
      <c r="J396" s="277"/>
    </row>
    <row r="397" spans="1:10" ht="15.75">
      <c r="A397" s="205">
        <v>1</v>
      </c>
      <c r="B397" s="655" t="s">
        <v>955</v>
      </c>
      <c r="C397" s="656"/>
      <c r="D397" s="302"/>
      <c r="E397" s="303"/>
      <c r="F397" s="303">
        <f>H397</f>
        <v>8000</v>
      </c>
      <c r="G397" s="303"/>
      <c r="H397" s="310">
        <v>8000</v>
      </c>
      <c r="I397" s="277"/>
      <c r="J397" s="191"/>
    </row>
    <row r="398" spans="1:10" ht="15.75">
      <c r="A398" s="263"/>
      <c r="B398" s="556"/>
      <c r="C398" s="545"/>
      <c r="D398" s="302"/>
      <c r="E398" s="303"/>
      <c r="F398" s="303"/>
      <c r="G398" s="303"/>
      <c r="H398" s="310"/>
      <c r="I398" s="277"/>
      <c r="J398" s="191"/>
    </row>
    <row r="399" spans="1:10" ht="15.75">
      <c r="A399" s="649" t="s">
        <v>571</v>
      </c>
      <c r="B399" s="650"/>
      <c r="C399" s="651"/>
      <c r="D399" s="199"/>
      <c r="E399" s="199" t="s">
        <v>562</v>
      </c>
      <c r="F399" s="291">
        <f>SUM(F397:F397)</f>
        <v>8000</v>
      </c>
      <c r="G399" s="311">
        <f>SUM(G397:G397)</f>
        <v>0</v>
      </c>
      <c r="H399" s="311">
        <f>SUM(H397:H397)</f>
        <v>8000</v>
      </c>
      <c r="I399" s="191"/>
      <c r="J399" s="191"/>
    </row>
    <row r="400" spans="1:10" ht="15.75">
      <c r="A400" s="236"/>
      <c r="B400" s="191"/>
      <c r="C400" s="236"/>
      <c r="D400" s="236"/>
      <c r="E400" s="236"/>
      <c r="F400" s="236"/>
      <c r="G400" s="191"/>
      <c r="H400" s="277"/>
      <c r="I400" s="277"/>
      <c r="J400" s="191"/>
    </row>
    <row r="401" spans="1:4" ht="15.75">
      <c r="A401" s="193"/>
      <c r="B401" s="193" t="s">
        <v>956</v>
      </c>
      <c r="C401" s="193"/>
      <c r="D401" s="193"/>
    </row>
    <row r="402" ht="15.75">
      <c r="B402" s="185"/>
    </row>
    <row r="403" spans="1:10" ht="25.5" customHeight="1">
      <c r="A403" s="670" t="s">
        <v>545</v>
      </c>
      <c r="B403" s="670" t="s">
        <v>566</v>
      </c>
      <c r="C403" s="672"/>
      <c r="D403" s="674" t="s">
        <v>651</v>
      </c>
      <c r="E403" s="676" t="s">
        <v>681</v>
      </c>
      <c r="F403" s="652" t="s">
        <v>579</v>
      </c>
      <c r="G403" s="652"/>
      <c r="H403" s="652"/>
      <c r="I403" s="308"/>
      <c r="J403" s="225"/>
    </row>
    <row r="404" spans="1:10" ht="54.75" customHeight="1">
      <c r="A404" s="671"/>
      <c r="B404" s="671"/>
      <c r="C404" s="673"/>
      <c r="D404" s="675"/>
      <c r="E404" s="677"/>
      <c r="F404" s="226" t="s">
        <v>682</v>
      </c>
      <c r="G404" s="226" t="s">
        <v>557</v>
      </c>
      <c r="H404" s="226" t="s">
        <v>563</v>
      </c>
      <c r="I404" s="191"/>
      <c r="J404" s="227"/>
    </row>
    <row r="405" spans="1:10" ht="15.75" customHeight="1">
      <c r="A405" s="231">
        <v>1</v>
      </c>
      <c r="B405" s="653">
        <v>2</v>
      </c>
      <c r="C405" s="654"/>
      <c r="D405" s="231">
        <v>3</v>
      </c>
      <c r="E405" s="231">
        <v>4</v>
      </c>
      <c r="F405" s="231">
        <v>5</v>
      </c>
      <c r="G405" s="231">
        <v>6</v>
      </c>
      <c r="H405" s="231">
        <v>7</v>
      </c>
      <c r="I405" s="277"/>
      <c r="J405" s="277"/>
    </row>
    <row r="406" spans="1:10" ht="15.75">
      <c r="A406" s="205">
        <v>1</v>
      </c>
      <c r="B406" s="655" t="s">
        <v>683</v>
      </c>
      <c r="C406" s="656"/>
      <c r="D406" s="302">
        <v>1782</v>
      </c>
      <c r="E406" s="303">
        <v>250</v>
      </c>
      <c r="F406" s="303">
        <f aca="true" t="shared" si="6" ref="F406:F411">SUM(G406:H406)</f>
        <v>417999.89999999997</v>
      </c>
      <c r="G406" s="303">
        <f>450000-50210.39</f>
        <v>399789.61</v>
      </c>
      <c r="H406" s="310">
        <v>18210.29</v>
      </c>
      <c r="I406" s="277"/>
      <c r="J406" s="191"/>
    </row>
    <row r="407" spans="1:10" ht="15.75">
      <c r="A407" s="205">
        <v>2</v>
      </c>
      <c r="B407" s="655" t="s">
        <v>684</v>
      </c>
      <c r="C407" s="656"/>
      <c r="D407" s="302">
        <v>25</v>
      </c>
      <c r="E407" s="303">
        <v>16460</v>
      </c>
      <c r="F407" s="303">
        <f t="shared" si="6"/>
        <v>120000</v>
      </c>
      <c r="G407" s="303">
        <v>0</v>
      </c>
      <c r="H407" s="310">
        <v>120000</v>
      </c>
      <c r="I407" s="277"/>
      <c r="J407" s="191"/>
    </row>
    <row r="408" spans="1:10" ht="15.75">
      <c r="A408" s="205">
        <v>3</v>
      </c>
      <c r="B408" s="655" t="s">
        <v>685</v>
      </c>
      <c r="C408" s="656"/>
      <c r="D408" s="302">
        <v>135</v>
      </c>
      <c r="E408" s="303">
        <v>1277</v>
      </c>
      <c r="F408" s="303">
        <f t="shared" si="6"/>
        <v>175000</v>
      </c>
      <c r="G408" s="303">
        <v>0</v>
      </c>
      <c r="H408" s="310">
        <v>175000</v>
      </c>
      <c r="I408" s="277"/>
      <c r="J408" s="191"/>
    </row>
    <row r="409" spans="1:10" ht="15.75">
      <c r="A409" s="263">
        <v>4</v>
      </c>
      <c r="B409" s="649" t="s">
        <v>914</v>
      </c>
      <c r="C409" s="651"/>
      <c r="D409" s="205"/>
      <c r="E409" s="205"/>
      <c r="F409" s="354">
        <f t="shared" si="6"/>
        <v>74307.91</v>
      </c>
      <c r="G409" s="362">
        <v>74307.91</v>
      </c>
      <c r="H409" s="310"/>
      <c r="I409" s="277"/>
      <c r="J409" s="191"/>
    </row>
    <row r="410" spans="1:10" ht="15.75">
      <c r="A410" s="263">
        <v>5</v>
      </c>
      <c r="B410" s="511" t="s">
        <v>915</v>
      </c>
      <c r="C410" s="512"/>
      <c r="D410" s="205"/>
      <c r="E410" s="205"/>
      <c r="F410" s="354">
        <f t="shared" si="6"/>
        <v>66000</v>
      </c>
      <c r="G410" s="362">
        <v>66000</v>
      </c>
      <c r="H410" s="310"/>
      <c r="I410" s="277"/>
      <c r="J410" s="191"/>
    </row>
    <row r="411" spans="1:10" ht="15.75">
      <c r="A411" s="263">
        <v>6</v>
      </c>
      <c r="B411" s="649" t="s">
        <v>916</v>
      </c>
      <c r="C411" s="651"/>
      <c r="D411" s="205"/>
      <c r="E411" s="205"/>
      <c r="F411" s="354">
        <f t="shared" si="6"/>
        <v>128337.7</v>
      </c>
      <c r="G411" s="362">
        <v>128337.7</v>
      </c>
      <c r="H411" s="310"/>
      <c r="I411" s="277"/>
      <c r="J411" s="191"/>
    </row>
    <row r="412" spans="1:10" ht="15.75">
      <c r="A412" s="263"/>
      <c r="B412" s="556"/>
      <c r="C412" s="545"/>
      <c r="D412" s="302"/>
      <c r="E412" s="303"/>
      <c r="F412" s="303"/>
      <c r="G412" s="303"/>
      <c r="H412" s="310"/>
      <c r="I412" s="277"/>
      <c r="J412" s="191"/>
    </row>
    <row r="413" spans="1:10" ht="15.75">
      <c r="A413" s="649" t="s">
        <v>571</v>
      </c>
      <c r="B413" s="650"/>
      <c r="C413" s="651"/>
      <c r="D413" s="199"/>
      <c r="E413" s="199" t="s">
        <v>562</v>
      </c>
      <c r="F413" s="291">
        <f>SUM(F406:F411)</f>
        <v>981645.5099999999</v>
      </c>
      <c r="G413" s="311">
        <f>SUM(G406:G411)</f>
        <v>668435.22</v>
      </c>
      <c r="H413" s="311">
        <f>SUM(H406:H408)</f>
        <v>313210.29000000004</v>
      </c>
      <c r="I413" s="191"/>
      <c r="J413" s="191"/>
    </row>
    <row r="414" ht="15.75">
      <c r="B414" s="185"/>
    </row>
    <row r="415" spans="1:4" ht="15.75" hidden="1">
      <c r="A415" s="193"/>
      <c r="B415" s="193" t="s">
        <v>913</v>
      </c>
      <c r="C415" s="193"/>
      <c r="D415" s="193"/>
    </row>
    <row r="416" ht="15.75" hidden="1">
      <c r="B416" s="185"/>
    </row>
    <row r="417" spans="1:10" ht="15.75" hidden="1">
      <c r="A417" s="670" t="s">
        <v>545</v>
      </c>
      <c r="B417" s="670" t="s">
        <v>566</v>
      </c>
      <c r="C417" s="672"/>
      <c r="D417" s="674" t="s">
        <v>651</v>
      </c>
      <c r="E417" s="676" t="s">
        <v>681</v>
      </c>
      <c r="F417" s="652" t="s">
        <v>579</v>
      </c>
      <c r="G417" s="652"/>
      <c r="H417" s="652"/>
      <c r="I417" s="308"/>
      <c r="J417" s="225"/>
    </row>
    <row r="418" spans="1:10" ht="47.25" hidden="1">
      <c r="A418" s="671"/>
      <c r="B418" s="671"/>
      <c r="C418" s="673"/>
      <c r="D418" s="675"/>
      <c r="E418" s="677"/>
      <c r="F418" s="226" t="s">
        <v>682</v>
      </c>
      <c r="G418" s="226" t="s">
        <v>557</v>
      </c>
      <c r="H418" s="226" t="s">
        <v>563</v>
      </c>
      <c r="I418" s="191"/>
      <c r="J418" s="227"/>
    </row>
    <row r="419" spans="1:10" ht="15.75" hidden="1">
      <c r="A419" s="231">
        <v>1</v>
      </c>
      <c r="B419" s="653">
        <v>2</v>
      </c>
      <c r="C419" s="654"/>
      <c r="D419" s="231">
        <v>3</v>
      </c>
      <c r="E419" s="231">
        <v>4</v>
      </c>
      <c r="F419" s="231">
        <v>5</v>
      </c>
      <c r="G419" s="231">
        <v>6</v>
      </c>
      <c r="H419" s="231">
        <v>7</v>
      </c>
      <c r="I419" s="277"/>
      <c r="J419" s="277"/>
    </row>
    <row r="420" spans="1:10" ht="15.75" hidden="1">
      <c r="A420" s="199">
        <v>1</v>
      </c>
      <c r="B420" s="649" t="s">
        <v>914</v>
      </c>
      <c r="C420" s="651"/>
      <c r="D420" s="205"/>
      <c r="E420" s="205"/>
      <c r="F420" s="354">
        <f>SUM(G420:H420)</f>
        <v>0</v>
      </c>
      <c r="G420" s="354"/>
      <c r="H420" s="354">
        <v>0</v>
      </c>
      <c r="I420" s="277"/>
      <c r="J420" s="191"/>
    </row>
    <row r="421" spans="1:10" ht="15.75" hidden="1">
      <c r="A421" s="199">
        <v>2</v>
      </c>
      <c r="B421" s="511" t="s">
        <v>915</v>
      </c>
      <c r="C421" s="512"/>
      <c r="D421" s="205"/>
      <c r="E421" s="205"/>
      <c r="F421" s="354">
        <f>SUM(G421:H421)</f>
        <v>0</v>
      </c>
      <c r="G421" s="354"/>
      <c r="H421" s="354">
        <v>0</v>
      </c>
      <c r="I421" s="277"/>
      <c r="J421" s="191"/>
    </row>
    <row r="422" spans="1:10" ht="15.75" hidden="1">
      <c r="A422" s="199">
        <v>3</v>
      </c>
      <c r="B422" s="649" t="s">
        <v>916</v>
      </c>
      <c r="C422" s="651"/>
      <c r="D422" s="205"/>
      <c r="E422" s="205"/>
      <c r="F422" s="354">
        <f>SUM(G422:H422)</f>
        <v>0</v>
      </c>
      <c r="G422" s="354"/>
      <c r="H422" s="354">
        <v>0</v>
      </c>
      <c r="I422" s="277"/>
      <c r="J422" s="191"/>
    </row>
    <row r="423" spans="1:10" ht="16.5" hidden="1">
      <c r="A423" s="649" t="s">
        <v>571</v>
      </c>
      <c r="B423" s="650"/>
      <c r="C423" s="651"/>
      <c r="D423" s="199"/>
      <c r="E423" s="199" t="s">
        <v>562</v>
      </c>
      <c r="F423" s="521">
        <f>SUM(F420:F422)</f>
        <v>0</v>
      </c>
      <c r="G423" s="521">
        <f>SUM(G420:G422)</f>
        <v>0</v>
      </c>
      <c r="H423" s="521">
        <f>SUM(H420:H422)</f>
        <v>0</v>
      </c>
      <c r="I423" s="191"/>
      <c r="J423" s="191"/>
    </row>
    <row r="424" ht="15.75">
      <c r="B424" s="185"/>
    </row>
    <row r="425" spans="1:4" ht="15.75">
      <c r="A425" s="193"/>
      <c r="B425" s="193" t="s">
        <v>957</v>
      </c>
      <c r="C425" s="193"/>
      <c r="D425" s="193"/>
    </row>
    <row r="426" ht="15.75">
      <c r="B426" s="185"/>
    </row>
    <row r="427" spans="1:10" ht="25.5" customHeight="1">
      <c r="A427" s="670" t="s">
        <v>545</v>
      </c>
      <c r="B427" s="670" t="s">
        <v>566</v>
      </c>
      <c r="C427" s="672"/>
      <c r="D427" s="674" t="s">
        <v>651</v>
      </c>
      <c r="E427" s="676" t="s">
        <v>681</v>
      </c>
      <c r="F427" s="652" t="s">
        <v>579</v>
      </c>
      <c r="G427" s="652"/>
      <c r="H427" s="652"/>
      <c r="I427" s="308"/>
      <c r="J427" s="225"/>
    </row>
    <row r="428" spans="1:10" ht="54.75" customHeight="1">
      <c r="A428" s="671"/>
      <c r="B428" s="671"/>
      <c r="C428" s="673"/>
      <c r="D428" s="675"/>
      <c r="E428" s="677"/>
      <c r="F428" s="226" t="s">
        <v>682</v>
      </c>
      <c r="G428" s="226" t="s">
        <v>557</v>
      </c>
      <c r="H428" s="226" t="s">
        <v>563</v>
      </c>
      <c r="I428" s="191"/>
      <c r="J428" s="227"/>
    </row>
    <row r="429" spans="1:10" ht="15.75" customHeight="1">
      <c r="A429" s="231">
        <v>1</v>
      </c>
      <c r="B429" s="653">
        <v>2</v>
      </c>
      <c r="C429" s="654"/>
      <c r="D429" s="231">
        <v>3</v>
      </c>
      <c r="E429" s="231">
        <v>4</v>
      </c>
      <c r="F429" s="231">
        <v>5</v>
      </c>
      <c r="G429" s="231">
        <v>6</v>
      </c>
      <c r="H429" s="231">
        <v>7</v>
      </c>
      <c r="I429" s="277"/>
      <c r="J429" s="277"/>
    </row>
    <row r="430" spans="1:10" ht="15" customHeight="1">
      <c r="A430" s="199">
        <v>1</v>
      </c>
      <c r="B430" s="659" t="s">
        <v>687</v>
      </c>
      <c r="C430" s="660"/>
      <c r="D430" s="312">
        <v>173</v>
      </c>
      <c r="E430" s="313">
        <v>453.02448</v>
      </c>
      <c r="F430" s="288">
        <f aca="true" t="shared" si="7" ref="F430:F435">SUM(G430:H430)</f>
        <v>4943.1</v>
      </c>
      <c r="G430" s="288">
        <v>0</v>
      </c>
      <c r="H430" s="288">
        <v>4943.1</v>
      </c>
      <c r="I430" s="277"/>
      <c r="J430" s="277"/>
    </row>
    <row r="431" spans="1:10" ht="15" customHeight="1">
      <c r="A431" s="199">
        <v>2</v>
      </c>
      <c r="B431" s="659" t="s">
        <v>688</v>
      </c>
      <c r="C431" s="660"/>
      <c r="D431" s="312">
        <v>500</v>
      </c>
      <c r="E431" s="312">
        <v>500</v>
      </c>
      <c r="F431" s="288">
        <f t="shared" si="7"/>
        <v>0</v>
      </c>
      <c r="G431" s="288">
        <v>0</v>
      </c>
      <c r="H431" s="288">
        <v>0</v>
      </c>
      <c r="I431" s="277"/>
      <c r="J431" s="277"/>
    </row>
    <row r="432" spans="1:10" ht="15" customHeight="1">
      <c r="A432" s="199">
        <v>3</v>
      </c>
      <c r="B432" s="659" t="s">
        <v>689</v>
      </c>
      <c r="C432" s="660"/>
      <c r="D432" s="312">
        <v>500</v>
      </c>
      <c r="E432" s="312">
        <v>500</v>
      </c>
      <c r="F432" s="288">
        <f t="shared" si="7"/>
        <v>0</v>
      </c>
      <c r="G432" s="288">
        <v>0</v>
      </c>
      <c r="H432" s="288">
        <v>0</v>
      </c>
      <c r="I432" s="277"/>
      <c r="J432" s="277"/>
    </row>
    <row r="433" spans="1:10" ht="15.75" customHeight="1">
      <c r="A433" s="199">
        <v>4</v>
      </c>
      <c r="B433" s="659" t="s">
        <v>690</v>
      </c>
      <c r="C433" s="660"/>
      <c r="D433" s="312">
        <v>400</v>
      </c>
      <c r="E433" s="312">
        <v>200</v>
      </c>
      <c r="F433" s="288">
        <f t="shared" si="7"/>
        <v>80000</v>
      </c>
      <c r="G433" s="288">
        <v>0</v>
      </c>
      <c r="H433" s="288">
        <f>80000</f>
        <v>80000</v>
      </c>
      <c r="I433" s="277"/>
      <c r="J433" s="277"/>
    </row>
    <row r="434" spans="1:10" ht="15.75">
      <c r="A434" s="199">
        <v>5</v>
      </c>
      <c r="B434" s="681" t="s">
        <v>691</v>
      </c>
      <c r="C434" s="681"/>
      <c r="D434" s="312">
        <v>250</v>
      </c>
      <c r="E434" s="312">
        <v>200</v>
      </c>
      <c r="F434" s="288">
        <f t="shared" si="7"/>
        <v>40000</v>
      </c>
      <c r="G434" s="288">
        <v>0</v>
      </c>
      <c r="H434" s="288">
        <v>40000</v>
      </c>
      <c r="I434" s="277"/>
      <c r="J434" s="191"/>
    </row>
    <row r="435" spans="1:10" ht="15.75">
      <c r="A435" s="205">
        <v>6</v>
      </c>
      <c r="B435" s="657" t="s">
        <v>329</v>
      </c>
      <c r="C435" s="658"/>
      <c r="D435" s="231"/>
      <c r="E435" s="231"/>
      <c r="F435" s="354">
        <f t="shared" si="7"/>
        <v>437421.05</v>
      </c>
      <c r="G435" s="354">
        <v>0</v>
      </c>
      <c r="H435" s="362">
        <v>437421.05</v>
      </c>
      <c r="I435" s="277"/>
      <c r="J435" s="191"/>
    </row>
    <row r="436" spans="1:10" ht="15.75">
      <c r="A436" s="263">
        <v>7</v>
      </c>
      <c r="B436" s="657" t="s">
        <v>328</v>
      </c>
      <c r="C436" s="658"/>
      <c r="D436" s="231"/>
      <c r="E436" s="231"/>
      <c r="F436" s="354">
        <f aca="true" t="shared" si="8" ref="F436:F441">SUM(G436:H436)</f>
        <v>7000</v>
      </c>
      <c r="G436" s="354">
        <v>0</v>
      </c>
      <c r="H436" s="362">
        <v>7000</v>
      </c>
      <c r="I436" s="277"/>
      <c r="J436" s="191"/>
    </row>
    <row r="437" spans="1:10" ht="15.75">
      <c r="A437" s="263">
        <v>8</v>
      </c>
      <c r="B437" s="657" t="s">
        <v>918</v>
      </c>
      <c r="C437" s="658"/>
      <c r="D437" s="231"/>
      <c r="E437" s="231"/>
      <c r="F437" s="354">
        <f t="shared" si="8"/>
        <v>35000</v>
      </c>
      <c r="G437" s="354">
        <v>0</v>
      </c>
      <c r="H437" s="362">
        <v>35000</v>
      </c>
      <c r="I437" s="277"/>
      <c r="J437" s="191"/>
    </row>
    <row r="438" spans="1:10" ht="15.75">
      <c r="A438" s="263">
        <v>9</v>
      </c>
      <c r="B438" s="657" t="s">
        <v>919</v>
      </c>
      <c r="C438" s="658"/>
      <c r="D438" s="231"/>
      <c r="E438" s="231"/>
      <c r="F438" s="354">
        <f t="shared" si="8"/>
        <v>5000</v>
      </c>
      <c r="G438" s="354">
        <v>0</v>
      </c>
      <c r="H438" s="362">
        <v>5000</v>
      </c>
      <c r="I438" s="277"/>
      <c r="J438" s="191"/>
    </row>
    <row r="439" spans="1:10" ht="15.75">
      <c r="A439" s="263">
        <v>10</v>
      </c>
      <c r="B439" s="657" t="s">
        <v>920</v>
      </c>
      <c r="C439" s="658"/>
      <c r="D439" s="231"/>
      <c r="E439" s="231"/>
      <c r="F439" s="354">
        <f t="shared" si="8"/>
        <v>12359.78</v>
      </c>
      <c r="G439" s="354">
        <v>0</v>
      </c>
      <c r="H439" s="362">
        <v>12359.78</v>
      </c>
      <c r="I439" s="277"/>
      <c r="J439" s="191"/>
    </row>
    <row r="440" spans="1:10" ht="15.75">
      <c r="A440" s="263">
        <v>11</v>
      </c>
      <c r="B440" s="657" t="s">
        <v>921</v>
      </c>
      <c r="C440" s="658"/>
      <c r="D440" s="205"/>
      <c r="E440" s="205"/>
      <c r="F440" s="354">
        <f t="shared" si="8"/>
        <v>5000</v>
      </c>
      <c r="G440" s="354">
        <v>0</v>
      </c>
      <c r="H440" s="362">
        <v>5000</v>
      </c>
      <c r="I440" s="277"/>
      <c r="J440" s="191"/>
    </row>
    <row r="441" spans="1:10" ht="15.75">
      <c r="A441" s="263">
        <v>12</v>
      </c>
      <c r="B441" s="657" t="s">
        <v>922</v>
      </c>
      <c r="C441" s="658"/>
      <c r="D441" s="205"/>
      <c r="E441" s="205"/>
      <c r="F441" s="354">
        <f t="shared" si="8"/>
        <v>5000</v>
      </c>
      <c r="G441" s="354">
        <v>0</v>
      </c>
      <c r="H441" s="362">
        <v>5000</v>
      </c>
      <c r="I441" s="277"/>
      <c r="J441" s="191"/>
    </row>
    <row r="442" spans="1:10" ht="15.75">
      <c r="A442" s="263"/>
      <c r="B442" s="546"/>
      <c r="C442" s="543"/>
      <c r="D442" s="205"/>
      <c r="E442" s="205"/>
      <c r="F442" s="205"/>
      <c r="G442" s="205"/>
      <c r="H442" s="231"/>
      <c r="I442" s="277"/>
      <c r="J442" s="191"/>
    </row>
    <row r="443" spans="1:10" ht="15.75">
      <c r="A443" s="263"/>
      <c r="B443" s="546"/>
      <c r="C443" s="543"/>
      <c r="D443" s="205"/>
      <c r="E443" s="205"/>
      <c r="F443" s="205"/>
      <c r="G443" s="205"/>
      <c r="H443" s="231"/>
      <c r="I443" s="277"/>
      <c r="J443" s="191"/>
    </row>
    <row r="444" spans="1:10" ht="15.75">
      <c r="A444" s="263"/>
      <c r="B444" s="546"/>
      <c r="C444" s="543"/>
      <c r="D444" s="205"/>
      <c r="E444" s="205"/>
      <c r="F444" s="205"/>
      <c r="G444" s="205"/>
      <c r="H444" s="231"/>
      <c r="I444" s="277"/>
      <c r="J444" s="191"/>
    </row>
    <row r="445" spans="1:10" ht="15.75">
      <c r="A445" s="263"/>
      <c r="B445" s="546"/>
      <c r="C445" s="543"/>
      <c r="D445" s="205"/>
      <c r="E445" s="205"/>
      <c r="F445" s="205"/>
      <c r="G445" s="205"/>
      <c r="H445" s="231"/>
      <c r="I445" s="277"/>
      <c r="J445" s="191"/>
    </row>
    <row r="446" spans="1:10" ht="15.75">
      <c r="A446" s="263"/>
      <c r="B446" s="546"/>
      <c r="C446" s="543"/>
      <c r="D446" s="205"/>
      <c r="E446" s="205"/>
      <c r="F446" s="205"/>
      <c r="G446" s="205"/>
      <c r="H446" s="231"/>
      <c r="I446" s="277"/>
      <c r="J446" s="191"/>
    </row>
    <row r="447" spans="1:10" s="193" customFormat="1" ht="15.75">
      <c r="A447" s="678" t="s">
        <v>571</v>
      </c>
      <c r="B447" s="679"/>
      <c r="C447" s="680"/>
      <c r="D447" s="314"/>
      <c r="E447" s="314" t="s">
        <v>562</v>
      </c>
      <c r="F447" s="291">
        <f>SUM(F430:F441)</f>
        <v>631723.93</v>
      </c>
      <c r="G447" s="311">
        <f>SUM(G430:G435)</f>
        <v>0</v>
      </c>
      <c r="H447" s="311">
        <f>SUM(H430:H441)</f>
        <v>631723.93</v>
      </c>
      <c r="I447" s="222"/>
      <c r="J447" s="222"/>
    </row>
    <row r="448" spans="1:10" s="193" customFormat="1" ht="15.75">
      <c r="A448" s="532"/>
      <c r="B448" s="532"/>
      <c r="C448" s="532"/>
      <c r="D448" s="514"/>
      <c r="E448" s="514"/>
      <c r="F448" s="533"/>
      <c r="G448" s="534"/>
      <c r="H448" s="534"/>
      <c r="I448" s="222"/>
      <c r="J448" s="222"/>
    </row>
    <row r="449" spans="1:4" ht="15.75" hidden="1">
      <c r="A449" s="193"/>
      <c r="B449" s="193" t="s">
        <v>917</v>
      </c>
      <c r="C449" s="193"/>
      <c r="D449" s="193"/>
    </row>
    <row r="450" ht="15.75" hidden="1">
      <c r="B450" s="185"/>
    </row>
    <row r="451" spans="1:10" ht="15.75" hidden="1">
      <c r="A451" s="670" t="s">
        <v>545</v>
      </c>
      <c r="B451" s="670" t="s">
        <v>566</v>
      </c>
      <c r="C451" s="672"/>
      <c r="D451" s="674" t="s">
        <v>651</v>
      </c>
      <c r="E451" s="676" t="s">
        <v>681</v>
      </c>
      <c r="F451" s="652" t="s">
        <v>579</v>
      </c>
      <c r="G451" s="652"/>
      <c r="H451" s="652"/>
      <c r="I451" s="308"/>
      <c r="J451" s="225"/>
    </row>
    <row r="452" spans="1:10" ht="47.25" hidden="1">
      <c r="A452" s="671"/>
      <c r="B452" s="671"/>
      <c r="C452" s="673"/>
      <c r="D452" s="675"/>
      <c r="E452" s="677"/>
      <c r="F452" s="226" t="s">
        <v>682</v>
      </c>
      <c r="G452" s="226" t="s">
        <v>557</v>
      </c>
      <c r="H452" s="226" t="s">
        <v>563</v>
      </c>
      <c r="I452" s="191"/>
      <c r="J452" s="227"/>
    </row>
    <row r="453" spans="1:10" ht="15.75" hidden="1">
      <c r="A453" s="231">
        <v>1</v>
      </c>
      <c r="B453" s="653">
        <v>2</v>
      </c>
      <c r="C453" s="654"/>
      <c r="D453" s="231">
        <v>3</v>
      </c>
      <c r="E453" s="231">
        <v>4</v>
      </c>
      <c r="F453" s="231">
        <v>5</v>
      </c>
      <c r="G453" s="231">
        <v>6</v>
      </c>
      <c r="H453" s="231">
        <v>7</v>
      </c>
      <c r="I453" s="277"/>
      <c r="J453" s="277"/>
    </row>
    <row r="454" spans="1:10" ht="15.75" hidden="1">
      <c r="A454" s="231">
        <v>1</v>
      </c>
      <c r="B454" s="657" t="s">
        <v>329</v>
      </c>
      <c r="C454" s="658"/>
      <c r="D454" s="231"/>
      <c r="E454" s="231"/>
      <c r="F454" s="354">
        <f>SUM(G454:H454)</f>
        <v>0</v>
      </c>
      <c r="G454" s="354">
        <v>0</v>
      </c>
      <c r="H454" s="354"/>
      <c r="I454" s="277"/>
      <c r="J454" s="277"/>
    </row>
    <row r="455" spans="1:10" ht="15.75" hidden="1">
      <c r="A455" s="231">
        <v>2</v>
      </c>
      <c r="B455" s="657" t="s">
        <v>328</v>
      </c>
      <c r="C455" s="658"/>
      <c r="D455" s="231"/>
      <c r="E455" s="231"/>
      <c r="F455" s="354">
        <f aca="true" t="shared" si="9" ref="F455:F460">SUM(G455:H455)</f>
        <v>0</v>
      </c>
      <c r="G455" s="354">
        <v>0</v>
      </c>
      <c r="H455" s="354"/>
      <c r="I455" s="277"/>
      <c r="J455" s="277"/>
    </row>
    <row r="456" spans="1:10" ht="15.75" hidden="1">
      <c r="A456" s="231">
        <v>3</v>
      </c>
      <c r="B456" s="657" t="s">
        <v>918</v>
      </c>
      <c r="C456" s="658"/>
      <c r="D456" s="231"/>
      <c r="E456" s="231"/>
      <c r="F456" s="354">
        <f t="shared" si="9"/>
        <v>0</v>
      </c>
      <c r="G456" s="354">
        <v>0</v>
      </c>
      <c r="H456" s="354"/>
      <c r="I456" s="277"/>
      <c r="J456" s="277"/>
    </row>
    <row r="457" spans="1:10" ht="15.75" hidden="1">
      <c r="A457" s="231">
        <v>4</v>
      </c>
      <c r="B457" s="657" t="s">
        <v>919</v>
      </c>
      <c r="C457" s="658"/>
      <c r="D457" s="231"/>
      <c r="E457" s="231"/>
      <c r="F457" s="354">
        <f t="shared" si="9"/>
        <v>0</v>
      </c>
      <c r="G457" s="354">
        <v>0</v>
      </c>
      <c r="H457" s="354"/>
      <c r="I457" s="277"/>
      <c r="J457" s="277"/>
    </row>
    <row r="458" spans="1:10" ht="15.75" hidden="1">
      <c r="A458" s="231">
        <v>5</v>
      </c>
      <c r="B458" s="657" t="s">
        <v>920</v>
      </c>
      <c r="C458" s="658"/>
      <c r="D458" s="231"/>
      <c r="E458" s="231"/>
      <c r="F458" s="354">
        <f t="shared" si="9"/>
        <v>0</v>
      </c>
      <c r="G458" s="354">
        <v>0</v>
      </c>
      <c r="H458" s="354"/>
      <c r="I458" s="277"/>
      <c r="J458" s="277"/>
    </row>
    <row r="459" spans="1:10" ht="15.75" hidden="1">
      <c r="A459" s="231">
        <v>7</v>
      </c>
      <c r="B459" s="657" t="s">
        <v>921</v>
      </c>
      <c r="C459" s="658"/>
      <c r="D459" s="205"/>
      <c r="E459" s="205"/>
      <c r="F459" s="354">
        <f t="shared" si="9"/>
        <v>0</v>
      </c>
      <c r="G459" s="354">
        <v>0</v>
      </c>
      <c r="H459" s="354"/>
      <c r="I459" s="277"/>
      <c r="J459" s="191"/>
    </row>
    <row r="460" spans="1:10" ht="15.75" hidden="1">
      <c r="A460" s="231">
        <v>8</v>
      </c>
      <c r="B460" s="657" t="s">
        <v>922</v>
      </c>
      <c r="C460" s="658"/>
      <c r="D460" s="205"/>
      <c r="E460" s="205"/>
      <c r="F460" s="354">
        <f t="shared" si="9"/>
        <v>0</v>
      </c>
      <c r="G460" s="354">
        <v>0</v>
      </c>
      <c r="H460" s="354"/>
      <c r="I460" s="277"/>
      <c r="J460" s="191"/>
    </row>
    <row r="461" spans="1:10" ht="16.5" hidden="1">
      <c r="A461" s="649" t="s">
        <v>571</v>
      </c>
      <c r="B461" s="650"/>
      <c r="C461" s="651"/>
      <c r="D461" s="199"/>
      <c r="E461" s="199" t="s">
        <v>562</v>
      </c>
      <c r="F461" s="521">
        <f>SUM(F454:F460)</f>
        <v>0</v>
      </c>
      <c r="G461" s="521">
        <f>SUM(G454:G460)</f>
        <v>0</v>
      </c>
      <c r="H461" s="521">
        <f>SUM(H454:H460)</f>
        <v>0</v>
      </c>
      <c r="I461" s="191"/>
      <c r="J461" s="191"/>
    </row>
    <row r="462" spans="1:11" ht="163.5" customHeight="1">
      <c r="A462" s="669" t="s">
        <v>692</v>
      </c>
      <c r="B462" s="669"/>
      <c r="C462" s="669"/>
      <c r="D462" s="669"/>
      <c r="E462" s="669"/>
      <c r="F462" s="669"/>
      <c r="G462" s="669"/>
      <c r="H462" s="669"/>
      <c r="I462" s="669"/>
      <c r="J462" s="669"/>
      <c r="K462" s="669"/>
    </row>
    <row r="463" ht="15.75">
      <c r="B463" s="185"/>
    </row>
    <row r="464" spans="1:4" ht="15.75">
      <c r="A464" s="193"/>
      <c r="B464" s="193" t="s">
        <v>958</v>
      </c>
      <c r="C464" s="193"/>
      <c r="D464" s="193"/>
    </row>
    <row r="465" ht="15.75">
      <c r="B465" s="185"/>
    </row>
    <row r="466" spans="1:10" ht="25.5" customHeight="1">
      <c r="A466" s="670" t="s">
        <v>545</v>
      </c>
      <c r="B466" s="670" t="s">
        <v>566</v>
      </c>
      <c r="C466" s="672"/>
      <c r="D466" s="674" t="s">
        <v>651</v>
      </c>
      <c r="E466" s="676" t="s">
        <v>681</v>
      </c>
      <c r="F466" s="652" t="s">
        <v>579</v>
      </c>
      <c r="G466" s="652"/>
      <c r="H466" s="652"/>
      <c r="I466" s="308"/>
      <c r="J466" s="225"/>
    </row>
    <row r="467" spans="1:10" ht="54.75" customHeight="1">
      <c r="A467" s="671"/>
      <c r="B467" s="671"/>
      <c r="C467" s="673"/>
      <c r="D467" s="675"/>
      <c r="E467" s="677"/>
      <c r="F467" s="226" t="s">
        <v>682</v>
      </c>
      <c r="G467" s="226" t="s">
        <v>557</v>
      </c>
      <c r="H467" s="226" t="s">
        <v>563</v>
      </c>
      <c r="I467" s="191"/>
      <c r="J467" s="227"/>
    </row>
    <row r="468" spans="1:10" ht="15.75" customHeight="1">
      <c r="A468" s="231">
        <v>1</v>
      </c>
      <c r="B468" s="653">
        <v>2</v>
      </c>
      <c r="C468" s="654"/>
      <c r="D468" s="231">
        <v>3</v>
      </c>
      <c r="E468" s="231">
        <v>4</v>
      </c>
      <c r="F468" s="231">
        <v>5</v>
      </c>
      <c r="G468" s="231">
        <v>6</v>
      </c>
      <c r="H468" s="231">
        <v>7</v>
      </c>
      <c r="I468" s="277"/>
      <c r="J468" s="277"/>
    </row>
    <row r="469" spans="1:10" ht="15.75">
      <c r="A469" s="205"/>
      <c r="B469" s="666"/>
      <c r="C469" s="667"/>
      <c r="D469" s="205"/>
      <c r="E469" s="205"/>
      <c r="F469" s="205"/>
      <c r="G469" s="231"/>
      <c r="H469" s="231"/>
      <c r="I469" s="277"/>
      <c r="J469" s="191"/>
    </row>
    <row r="470" spans="1:10" ht="15.75">
      <c r="A470" s="205"/>
      <c r="B470" s="666"/>
      <c r="C470" s="667"/>
      <c r="D470" s="205"/>
      <c r="E470" s="205"/>
      <c r="F470" s="205"/>
      <c r="G470" s="205"/>
      <c r="H470" s="231"/>
      <c r="I470" s="277"/>
      <c r="J470" s="191"/>
    </row>
    <row r="471" spans="1:10" ht="15.75">
      <c r="A471" s="649" t="s">
        <v>571</v>
      </c>
      <c r="B471" s="650"/>
      <c r="C471" s="651"/>
      <c r="D471" s="199"/>
      <c r="E471" s="199" t="s">
        <v>562</v>
      </c>
      <c r="F471" s="199"/>
      <c r="G471" s="205"/>
      <c r="H471" s="205"/>
      <c r="I471" s="191"/>
      <c r="J471" s="191"/>
    </row>
    <row r="474" spans="1:7" s="317" customFormat="1" ht="18.75">
      <c r="A474" s="315" t="s">
        <v>694</v>
      </c>
      <c r="B474" s="315"/>
      <c r="C474" s="315"/>
      <c r="D474" s="316"/>
      <c r="E474" s="316"/>
      <c r="F474" s="316"/>
      <c r="G474" s="316"/>
    </row>
    <row r="475" spans="1:4" s="317" customFormat="1" ht="15.75">
      <c r="A475" s="318"/>
      <c r="B475" s="319"/>
      <c r="C475" s="319"/>
      <c r="D475" s="320"/>
    </row>
    <row r="476" spans="1:5" s="317" customFormat="1" ht="42" customHeight="1">
      <c r="A476" s="321" t="s">
        <v>545</v>
      </c>
      <c r="B476" s="668" t="s">
        <v>695</v>
      </c>
      <c r="C476" s="668"/>
      <c r="D476" s="322" t="s">
        <v>696</v>
      </c>
      <c r="E476" s="323"/>
    </row>
    <row r="477" spans="1:5" s="317" customFormat="1" ht="24.75" customHeight="1">
      <c r="A477" s="324">
        <v>1</v>
      </c>
      <c r="B477" s="661" t="s">
        <v>697</v>
      </c>
      <c r="C477" s="661"/>
      <c r="D477" s="325">
        <f>J28+G105+G219+G251+F311+E368+G413+H140+G461+G447+G423+E388+F336++G228+G123+G73+J52</f>
        <v>38224991.068</v>
      </c>
      <c r="E477" s="323"/>
    </row>
    <row r="478" spans="1:5" s="317" customFormat="1" ht="24.75" customHeight="1">
      <c r="A478" s="324">
        <v>2</v>
      </c>
      <c r="B478" s="661" t="s">
        <v>563</v>
      </c>
      <c r="C478" s="661"/>
      <c r="D478" s="325">
        <f>H447+F368+G311+H251+H219+H158+H413+G314+H461+H423+F388+G336+H261+H228+H172+H399</f>
        <v>12938730.270000001</v>
      </c>
      <c r="E478" s="515"/>
    </row>
    <row r="479" spans="1:5" s="317" customFormat="1" ht="25.5" customHeight="1">
      <c r="A479" s="662" t="s">
        <v>698</v>
      </c>
      <c r="B479" s="663"/>
      <c r="C479" s="664"/>
      <c r="D479" s="326">
        <f>SUM(D477:D478)</f>
        <v>51163721.33800001</v>
      </c>
      <c r="E479" s="515"/>
    </row>
    <row r="482" spans="1:5" ht="15.75">
      <c r="A482" s="185" t="s">
        <v>699</v>
      </c>
      <c r="C482" s="185" t="s">
        <v>700</v>
      </c>
      <c r="E482" s="185" t="s">
        <v>701</v>
      </c>
    </row>
    <row r="484" spans="1:3" ht="15.75">
      <c r="A484" s="185" t="s">
        <v>13</v>
      </c>
      <c r="C484" s="185" t="s">
        <v>700</v>
      </c>
    </row>
    <row r="485" spans="1:7" s="317" customFormat="1" ht="15.75">
      <c r="A485" s="327"/>
      <c r="B485" s="328"/>
      <c r="C485" s="328"/>
      <c r="D485" s="665"/>
      <c r="E485" s="665"/>
      <c r="F485" s="665"/>
      <c r="G485" s="665"/>
    </row>
  </sheetData>
  <sheetProtection/>
  <mergeCells count="293">
    <mergeCell ref="B97:D97"/>
    <mergeCell ref="B98:D98"/>
    <mergeCell ref="B99:D99"/>
    <mergeCell ref="B100:D100"/>
    <mergeCell ref="B101:D101"/>
    <mergeCell ref="B91:D91"/>
    <mergeCell ref="B92:D92"/>
    <mergeCell ref="B93:D93"/>
    <mergeCell ref="B94:D94"/>
    <mergeCell ref="B95:D95"/>
    <mergeCell ref="B96:D96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34:B34"/>
    <mergeCell ref="A38:A40"/>
    <mergeCell ref="B38:B40"/>
    <mergeCell ref="C38:C40"/>
    <mergeCell ref="D38:G38"/>
    <mergeCell ref="H38:H40"/>
    <mergeCell ref="I38:I40"/>
    <mergeCell ref="J38:J40"/>
    <mergeCell ref="K38:K40"/>
    <mergeCell ref="E39:G39"/>
    <mergeCell ref="A52:B52"/>
    <mergeCell ref="A55:K55"/>
    <mergeCell ref="B56:K56"/>
    <mergeCell ref="B57:I57"/>
    <mergeCell ref="A59:A60"/>
    <mergeCell ref="B59:B60"/>
    <mergeCell ref="C59:C60"/>
    <mergeCell ref="D59:D60"/>
    <mergeCell ref="E59:E60"/>
    <mergeCell ref="F59:H59"/>
    <mergeCell ref="A64:B64"/>
    <mergeCell ref="B66:F66"/>
    <mergeCell ref="A68:A69"/>
    <mergeCell ref="B68:B69"/>
    <mergeCell ref="C68:C69"/>
    <mergeCell ref="D68:D69"/>
    <mergeCell ref="E68:E69"/>
    <mergeCell ref="F68:H68"/>
    <mergeCell ref="A73:B73"/>
    <mergeCell ref="B75:I75"/>
    <mergeCell ref="A77:A78"/>
    <mergeCell ref="B77:D78"/>
    <mergeCell ref="E77:E78"/>
    <mergeCell ref="F77:H77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A105:D105"/>
    <mergeCell ref="B107:I107"/>
    <mergeCell ref="A109:A110"/>
    <mergeCell ref="B109:D110"/>
    <mergeCell ref="E109:E110"/>
    <mergeCell ref="F109:H109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A123:D123"/>
    <mergeCell ref="A126:K126"/>
    <mergeCell ref="B127:F127"/>
    <mergeCell ref="A128:K128"/>
    <mergeCell ref="A134:A135"/>
    <mergeCell ref="B134:D135"/>
    <mergeCell ref="E134:E135"/>
    <mergeCell ref="F134:F135"/>
    <mergeCell ref="G134:I134"/>
    <mergeCell ref="B136:D136"/>
    <mergeCell ref="B137:D137"/>
    <mergeCell ref="B138:D138"/>
    <mergeCell ref="B139:D139"/>
    <mergeCell ref="A140:D140"/>
    <mergeCell ref="A142:K142"/>
    <mergeCell ref="A144:K144"/>
    <mergeCell ref="A150:A151"/>
    <mergeCell ref="B150:C151"/>
    <mergeCell ref="D150:D151"/>
    <mergeCell ref="E150:E151"/>
    <mergeCell ref="F150:H150"/>
    <mergeCell ref="B152:C152"/>
    <mergeCell ref="B153:C153"/>
    <mergeCell ref="B154:C154"/>
    <mergeCell ref="B155:C155"/>
    <mergeCell ref="B156:C156"/>
    <mergeCell ref="B157:C157"/>
    <mergeCell ref="A158:C158"/>
    <mergeCell ref="A160:K160"/>
    <mergeCell ref="A166:A167"/>
    <mergeCell ref="B166:C167"/>
    <mergeCell ref="D166:D167"/>
    <mergeCell ref="E166:E167"/>
    <mergeCell ref="F166:H166"/>
    <mergeCell ref="B168:C168"/>
    <mergeCell ref="B169:C169"/>
    <mergeCell ref="B170:C170"/>
    <mergeCell ref="B171:C171"/>
    <mergeCell ref="A172:C172"/>
    <mergeCell ref="A174:K174"/>
    <mergeCell ref="A176:K176"/>
    <mergeCell ref="A177:E177"/>
    <mergeCell ref="A182:A183"/>
    <mergeCell ref="B182:B183"/>
    <mergeCell ref="C182:C183"/>
    <mergeCell ref="D182:D183"/>
    <mergeCell ref="E182:G182"/>
    <mergeCell ref="A187:B187"/>
    <mergeCell ref="A189:K189"/>
    <mergeCell ref="A191:K191"/>
    <mergeCell ref="A197:A198"/>
    <mergeCell ref="B197:B198"/>
    <mergeCell ref="C197:C198"/>
    <mergeCell ref="D197:D198"/>
    <mergeCell ref="E197:G197"/>
    <mergeCell ref="A202:B202"/>
    <mergeCell ref="A204:K204"/>
    <mergeCell ref="A206:K206"/>
    <mergeCell ref="A214:A215"/>
    <mergeCell ref="B214:B215"/>
    <mergeCell ref="C214:C215"/>
    <mergeCell ref="D214:D215"/>
    <mergeCell ref="E214:E215"/>
    <mergeCell ref="F214:H214"/>
    <mergeCell ref="A219:B219"/>
    <mergeCell ref="A223:A224"/>
    <mergeCell ref="B223:B224"/>
    <mergeCell ref="C223:C224"/>
    <mergeCell ref="D223:D224"/>
    <mergeCell ref="E223:E224"/>
    <mergeCell ref="F223:H223"/>
    <mergeCell ref="A228:B228"/>
    <mergeCell ref="A230:K230"/>
    <mergeCell ref="A234:A235"/>
    <mergeCell ref="B234:B235"/>
    <mergeCell ref="C234:C235"/>
    <mergeCell ref="D234:D235"/>
    <mergeCell ref="E234:G234"/>
    <mergeCell ref="A239:B239"/>
    <mergeCell ref="A241:K241"/>
    <mergeCell ref="A245:A246"/>
    <mergeCell ref="B245:B246"/>
    <mergeCell ref="C245:C246"/>
    <mergeCell ref="D245:D246"/>
    <mergeCell ref="E245:E246"/>
    <mergeCell ref="F245:H245"/>
    <mergeCell ref="A251:B251"/>
    <mergeCell ref="A255:A256"/>
    <mergeCell ref="B255:B256"/>
    <mergeCell ref="C255:C256"/>
    <mergeCell ref="D255:D256"/>
    <mergeCell ref="E255:E256"/>
    <mergeCell ref="F255:H255"/>
    <mergeCell ref="A261:B261"/>
    <mergeCell ref="A263:K263"/>
    <mergeCell ref="A267:A268"/>
    <mergeCell ref="B267:B268"/>
    <mergeCell ref="C267:C268"/>
    <mergeCell ref="D267:D268"/>
    <mergeCell ref="E267:G267"/>
    <mergeCell ref="A272:B272"/>
    <mergeCell ref="A274:K274"/>
    <mergeCell ref="A278:A279"/>
    <mergeCell ref="B278:B279"/>
    <mergeCell ref="C278:C279"/>
    <mergeCell ref="D278:D279"/>
    <mergeCell ref="E278:G278"/>
    <mergeCell ref="A311:B311"/>
    <mergeCell ref="A314:B314"/>
    <mergeCell ref="A318:A319"/>
    <mergeCell ref="B318:B319"/>
    <mergeCell ref="C318:C319"/>
    <mergeCell ref="D318:D319"/>
    <mergeCell ref="E318:G318"/>
    <mergeCell ref="A336:B336"/>
    <mergeCell ref="A338:K338"/>
    <mergeCell ref="A342:A343"/>
    <mergeCell ref="B342:B343"/>
    <mergeCell ref="C342:C343"/>
    <mergeCell ref="D342:F342"/>
    <mergeCell ref="D394:D395"/>
    <mergeCell ref="E394:E395"/>
    <mergeCell ref="A368:B368"/>
    <mergeCell ref="A372:A373"/>
    <mergeCell ref="B372:B373"/>
    <mergeCell ref="C372:C373"/>
    <mergeCell ref="D372:F372"/>
    <mergeCell ref="A388:B388"/>
    <mergeCell ref="B409:C409"/>
    <mergeCell ref="B411:C411"/>
    <mergeCell ref="A390:K390"/>
    <mergeCell ref="A403:A404"/>
    <mergeCell ref="B403:C404"/>
    <mergeCell ref="D403:D404"/>
    <mergeCell ref="E403:E404"/>
    <mergeCell ref="F403:H403"/>
    <mergeCell ref="A394:A395"/>
    <mergeCell ref="B394:C395"/>
    <mergeCell ref="B419:C419"/>
    <mergeCell ref="B420:C420"/>
    <mergeCell ref="B422:C422"/>
    <mergeCell ref="B405:C405"/>
    <mergeCell ref="B406:C406"/>
    <mergeCell ref="B407:C407"/>
    <mergeCell ref="B408:C408"/>
    <mergeCell ref="A413:C413"/>
    <mergeCell ref="A417:A418"/>
    <mergeCell ref="B417:C418"/>
    <mergeCell ref="D427:D428"/>
    <mergeCell ref="E427:E428"/>
    <mergeCell ref="F427:H427"/>
    <mergeCell ref="D417:D418"/>
    <mergeCell ref="E417:E418"/>
    <mergeCell ref="F417:H417"/>
    <mergeCell ref="B432:C432"/>
    <mergeCell ref="B433:C433"/>
    <mergeCell ref="B434:C434"/>
    <mergeCell ref="A423:C423"/>
    <mergeCell ref="A427:A428"/>
    <mergeCell ref="B427:C428"/>
    <mergeCell ref="A447:C447"/>
    <mergeCell ref="A451:A452"/>
    <mergeCell ref="B451:C452"/>
    <mergeCell ref="D451:D452"/>
    <mergeCell ref="E451:E452"/>
    <mergeCell ref="B436:C436"/>
    <mergeCell ref="B437:C437"/>
    <mergeCell ref="B438:C438"/>
    <mergeCell ref="B439:C439"/>
    <mergeCell ref="F451:H451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A461:C461"/>
    <mergeCell ref="A462:K462"/>
    <mergeCell ref="A466:A467"/>
    <mergeCell ref="B466:C467"/>
    <mergeCell ref="D466:D467"/>
    <mergeCell ref="E466:E467"/>
    <mergeCell ref="F466:H466"/>
    <mergeCell ref="B478:C478"/>
    <mergeCell ref="A479:C479"/>
    <mergeCell ref="D485:E485"/>
    <mergeCell ref="F485:G485"/>
    <mergeCell ref="B468:C468"/>
    <mergeCell ref="B469:C469"/>
    <mergeCell ref="B470:C470"/>
    <mergeCell ref="A471:C471"/>
    <mergeCell ref="B476:C476"/>
    <mergeCell ref="B477:C477"/>
    <mergeCell ref="A399:C399"/>
    <mergeCell ref="F394:H394"/>
    <mergeCell ref="B396:C396"/>
    <mergeCell ref="B397:C397"/>
    <mergeCell ref="B440:C440"/>
    <mergeCell ref="B441:C441"/>
    <mergeCell ref="B435:C435"/>
    <mergeCell ref="B429:C429"/>
    <mergeCell ref="B430:C430"/>
    <mergeCell ref="B431:C4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rowBreaks count="6" manualBreakCount="6">
    <brk id="56" max="255" man="1"/>
    <brk id="127" max="255" man="1"/>
    <brk id="175" max="255" man="1"/>
    <brk id="231" max="255" man="1"/>
    <brk id="337" max="10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2019-07-17T07:25:21Z</dcterms:modified>
  <cp:category/>
  <cp:version/>
  <cp:contentType/>
  <cp:contentStatus/>
</cp:coreProperties>
</file>